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0" windowWidth="14940" windowHeight="8970"/>
  </bookViews>
  <sheets>
    <sheet name="Data Input" sheetId="1" r:id="rId1"/>
    <sheet name="compatible mounts" sheetId="2" r:id="rId2"/>
  </sheets>
  <definedNames>
    <definedName name="_xlnm.Print_Area" localSheetId="1">'compatible mounts'!$A$1:$M$39</definedName>
    <definedName name="_xlnm.Print_Area" localSheetId="0">'Data Input'!$A$1:$G$95</definedName>
  </definedNames>
  <calcPr calcId="145621"/>
</workbook>
</file>

<file path=xl/calcChain.xml><?xml version="1.0" encoding="utf-8"?>
<calcChain xmlns="http://schemas.openxmlformats.org/spreadsheetml/2006/main">
  <c r="J69" i="1" l="1"/>
  <c r="J62" i="1"/>
  <c r="J63" i="1"/>
  <c r="J64" i="1"/>
  <c r="J65" i="1"/>
  <c r="J66" i="1"/>
  <c r="J67" i="1"/>
  <c r="J68" i="1"/>
  <c r="J61" i="1"/>
  <c r="J57" i="1"/>
  <c r="J56" i="1"/>
  <c r="J55" i="1"/>
  <c r="J54" i="1"/>
  <c r="J53" i="1"/>
  <c r="J52" i="1"/>
  <c r="J51" i="1"/>
  <c r="J44" i="1"/>
  <c r="J45" i="1"/>
  <c r="J46" i="1"/>
  <c r="J47" i="1"/>
  <c r="J43" i="1"/>
  <c r="I39" i="1"/>
  <c r="I38" i="1"/>
  <c r="I37" i="1"/>
  <c r="I36" i="1"/>
  <c r="I35" i="1"/>
  <c r="I34" i="1"/>
  <c r="I33" i="1"/>
  <c r="I32" i="1"/>
  <c r="I23" i="1"/>
  <c r="I24" i="1"/>
  <c r="I25" i="1"/>
  <c r="I26" i="1"/>
  <c r="I27" i="1"/>
  <c r="I28" i="1"/>
  <c r="I29" i="1"/>
  <c r="I22" i="1"/>
  <c r="G20" i="1"/>
  <c r="B1" i="2" l="1"/>
  <c r="B18" i="1" l="1"/>
  <c r="C18" i="1"/>
  <c r="E18" i="1"/>
  <c r="D18" i="1" l="1"/>
  <c r="J26" i="2" l="1"/>
  <c r="J27" i="2"/>
  <c r="J28" i="2"/>
  <c r="J29" i="2"/>
  <c r="A69" i="1" l="1"/>
  <c r="E43" i="1" l="1"/>
  <c r="E45" i="1"/>
  <c r="E46" i="1"/>
  <c r="E47" i="1"/>
  <c r="E44" i="1"/>
  <c r="A61" i="1" l="1"/>
  <c r="A62" i="1"/>
  <c r="A63" i="1"/>
  <c r="A64" i="1"/>
  <c r="A65" i="1"/>
  <c r="A66" i="1"/>
  <c r="A67" i="1"/>
  <c r="A68" i="1"/>
  <c r="E69" i="1"/>
  <c r="F69" i="1" s="1"/>
  <c r="N15" i="2"/>
  <c r="N16" i="2"/>
  <c r="E64" i="1"/>
  <c r="F64" i="1" s="1"/>
  <c r="G69" i="1" l="1"/>
  <c r="G64" i="1"/>
  <c r="G10" i="2" s="1"/>
  <c r="G15" i="2" l="1"/>
  <c r="G16" i="2"/>
  <c r="E67" i="1"/>
  <c r="F67" i="1" s="1"/>
  <c r="E66" i="1"/>
  <c r="F66" i="1" s="1"/>
  <c r="C20" i="1"/>
  <c r="A22" i="1"/>
  <c r="C22" i="1"/>
  <c r="G22" i="1" s="1"/>
  <c r="A23" i="1"/>
  <c r="C23" i="1"/>
  <c r="D23" i="1" s="1"/>
  <c r="A24" i="1"/>
  <c r="C24" i="1"/>
  <c r="D24" i="1" s="1"/>
  <c r="A25" i="1"/>
  <c r="C25" i="1"/>
  <c r="D25" i="1" s="1"/>
  <c r="A26" i="1"/>
  <c r="C26" i="1"/>
  <c r="D26" i="1" s="1"/>
  <c r="N7" i="2" s="1"/>
  <c r="A27" i="1"/>
  <c r="C27" i="1"/>
  <c r="D27" i="1" s="1"/>
  <c r="N8" i="2" s="1"/>
  <c r="A28" i="1"/>
  <c r="C28" i="1"/>
  <c r="D28" i="1" s="1"/>
  <c r="N9" i="2" s="1"/>
  <c r="A29" i="1"/>
  <c r="C29" i="1"/>
  <c r="D29" i="1" s="1"/>
  <c r="N10" i="2" s="1"/>
  <c r="H30" i="1"/>
  <c r="M15" i="2" s="1"/>
  <c r="H31" i="1"/>
  <c r="M16" i="2" s="1"/>
  <c r="A32" i="1"/>
  <c r="C32" i="1"/>
  <c r="D32" i="1" s="1"/>
  <c r="N17" i="2" s="1"/>
  <c r="A33" i="1"/>
  <c r="C33" i="1"/>
  <c r="D33" i="1" s="1"/>
  <c r="N18" i="2" s="1"/>
  <c r="A34" i="1"/>
  <c r="C34" i="1"/>
  <c r="D34" i="1" s="1"/>
  <c r="N19" i="2" s="1"/>
  <c r="A35" i="1"/>
  <c r="C35" i="1"/>
  <c r="D35" i="1" s="1"/>
  <c r="N20" i="2" s="1"/>
  <c r="A36" i="1"/>
  <c r="C36" i="1"/>
  <c r="D36" i="1" s="1"/>
  <c r="N21" i="2" s="1"/>
  <c r="A37" i="1"/>
  <c r="C37" i="1"/>
  <c r="D37" i="1" s="1"/>
  <c r="N22" i="2" s="1"/>
  <c r="A38" i="1"/>
  <c r="C38" i="1"/>
  <c r="D38" i="1" s="1"/>
  <c r="N23" i="2" s="1"/>
  <c r="A39" i="1"/>
  <c r="C39" i="1"/>
  <c r="D39" i="1" s="1"/>
  <c r="A43" i="1"/>
  <c r="F43" i="1"/>
  <c r="A44" i="1"/>
  <c r="F44" i="1"/>
  <c r="G44" i="1" s="1"/>
  <c r="G20" i="2" s="1"/>
  <c r="A45" i="1"/>
  <c r="F45" i="1"/>
  <c r="A46" i="1"/>
  <c r="F46" i="1"/>
  <c r="A47" i="1"/>
  <c r="F47" i="1"/>
  <c r="I48" i="1"/>
  <c r="I49" i="1"/>
  <c r="A51" i="1"/>
  <c r="E51" i="1"/>
  <c r="F51" i="1" s="1"/>
  <c r="A52" i="1"/>
  <c r="E52" i="1"/>
  <c r="F52" i="1" s="1"/>
  <c r="G52" i="1" s="1"/>
  <c r="G27" i="2" s="1"/>
  <c r="A53" i="1"/>
  <c r="E53" i="1"/>
  <c r="F53" i="1" s="1"/>
  <c r="A54" i="1"/>
  <c r="E54" i="1"/>
  <c r="F54" i="1" s="1"/>
  <c r="A55" i="1"/>
  <c r="E55" i="1"/>
  <c r="F55" i="1" s="1"/>
  <c r="A56" i="1"/>
  <c r="E56" i="1"/>
  <c r="F56" i="1" s="1"/>
  <c r="G56" i="1" s="1"/>
  <c r="G31" i="2" s="1"/>
  <c r="A57" i="1"/>
  <c r="E57" i="1"/>
  <c r="F57" i="1" s="1"/>
  <c r="E61" i="1"/>
  <c r="F61" i="1" s="1"/>
  <c r="G61" i="1" s="1"/>
  <c r="G7" i="2" s="1"/>
  <c r="E62" i="1"/>
  <c r="F62" i="1" s="1"/>
  <c r="G62" i="1" s="1"/>
  <c r="G8" i="2" s="1"/>
  <c r="E63" i="1"/>
  <c r="F63" i="1" s="1"/>
  <c r="H64" i="1" s="1"/>
  <c r="I64" i="1" s="1"/>
  <c r="E65" i="1"/>
  <c r="F65" i="1" s="1"/>
  <c r="H65" i="1" s="1"/>
  <c r="E68" i="1"/>
  <c r="F68" i="1" s="1"/>
  <c r="H69" i="1" s="1"/>
  <c r="I69" i="1" l="1"/>
  <c r="E16" i="2"/>
  <c r="E15" i="2"/>
  <c r="F10" i="2"/>
  <c r="E10" i="2"/>
  <c r="G26" i="1"/>
  <c r="E26" i="1" s="1"/>
  <c r="G24" i="1"/>
  <c r="H24" i="1" s="1"/>
  <c r="G34" i="1"/>
  <c r="H34" i="1" s="1"/>
  <c r="M19" i="2" s="1"/>
  <c r="G25" i="1"/>
  <c r="H25" i="1" s="1"/>
  <c r="D22" i="1"/>
  <c r="G38" i="1"/>
  <c r="G63" i="1"/>
  <c r="G9" i="2" s="1"/>
  <c r="H63" i="1"/>
  <c r="H57" i="1"/>
  <c r="G57" i="1"/>
  <c r="G32" i="2" s="1"/>
  <c r="G51" i="1"/>
  <c r="G26" i="2" s="1"/>
  <c r="H51" i="1"/>
  <c r="G47" i="1"/>
  <c r="G23" i="2" s="1"/>
  <c r="H47" i="1"/>
  <c r="G65" i="1"/>
  <c r="G11" i="2" s="1"/>
  <c r="H53" i="1"/>
  <c r="G53" i="1"/>
  <c r="G28" i="2" s="1"/>
  <c r="G43" i="1"/>
  <c r="G19" i="2" s="1"/>
  <c r="H43" i="1"/>
  <c r="G68" i="1"/>
  <c r="G14" i="2" s="1"/>
  <c r="H68" i="1"/>
  <c r="G54" i="1"/>
  <c r="G29" i="2" s="1"/>
  <c r="H54" i="1"/>
  <c r="H45" i="1"/>
  <c r="G45" i="1"/>
  <c r="G21" i="2" s="1"/>
  <c r="H22" i="1"/>
  <c r="G66" i="1"/>
  <c r="G12" i="2" s="1"/>
  <c r="H66" i="1"/>
  <c r="H62" i="1"/>
  <c r="G55" i="1"/>
  <c r="G30" i="2" s="1"/>
  <c r="H55" i="1"/>
  <c r="G46" i="1"/>
  <c r="G22" i="2" s="1"/>
  <c r="H46" i="1"/>
  <c r="H67" i="1"/>
  <c r="E13" i="2" s="1"/>
  <c r="G67" i="1"/>
  <c r="G13" i="2" s="1"/>
  <c r="G39" i="1"/>
  <c r="G35" i="1"/>
  <c r="G27" i="1"/>
  <c r="G23" i="1"/>
  <c r="H61" i="1"/>
  <c r="H56" i="1"/>
  <c r="H52" i="1"/>
  <c r="H44" i="1"/>
  <c r="G36" i="1"/>
  <c r="G32" i="1"/>
  <c r="G28" i="1"/>
  <c r="G37" i="1"/>
  <c r="G33" i="1"/>
  <c r="G29" i="1"/>
  <c r="E22" i="1" l="1"/>
  <c r="F15" i="2"/>
  <c r="F16" i="2"/>
  <c r="H26" i="1"/>
  <c r="M7" i="2" s="1"/>
  <c r="L7" i="2"/>
  <c r="E24" i="1"/>
  <c r="E25" i="1"/>
  <c r="E38" i="1"/>
  <c r="L22" i="2"/>
  <c r="H38" i="1"/>
  <c r="M23" i="2" s="1"/>
  <c r="E34" i="1"/>
  <c r="L18" i="2"/>
  <c r="I62" i="1"/>
  <c r="F8" i="2" s="1"/>
  <c r="E8" i="2"/>
  <c r="I54" i="1"/>
  <c r="F29" i="2" s="1"/>
  <c r="E29" i="2"/>
  <c r="E14" i="2"/>
  <c r="I68" i="1"/>
  <c r="F14" i="2" s="1"/>
  <c r="I47" i="1"/>
  <c r="F23" i="2" s="1"/>
  <c r="E23" i="2"/>
  <c r="L17" i="2"/>
  <c r="E33" i="1"/>
  <c r="H33" i="1"/>
  <c r="M18" i="2" s="1"/>
  <c r="L21" i="2"/>
  <c r="E37" i="1"/>
  <c r="H37" i="1"/>
  <c r="M22" i="2" s="1"/>
  <c r="E20" i="2"/>
  <c r="I44" i="1"/>
  <c r="F20" i="2" s="1"/>
  <c r="H23" i="1"/>
  <c r="E23" i="1"/>
  <c r="I67" i="1"/>
  <c r="F13" i="2" s="1"/>
  <c r="E22" i="2"/>
  <c r="I46" i="1"/>
  <c r="F22" i="2" s="1"/>
  <c r="I55" i="1"/>
  <c r="F30" i="2" s="1"/>
  <c r="E30" i="2"/>
  <c r="I66" i="1"/>
  <c r="F12" i="2" s="1"/>
  <c r="E12" i="2"/>
  <c r="E28" i="2"/>
  <c r="I53" i="1"/>
  <c r="F28" i="2" s="1"/>
  <c r="E32" i="2"/>
  <c r="I57" i="1"/>
  <c r="F32" i="2" s="1"/>
  <c r="H36" i="1"/>
  <c r="M21" i="2" s="1"/>
  <c r="E36" i="1"/>
  <c r="L20" i="2"/>
  <c r="L19" i="2"/>
  <c r="H35" i="1"/>
  <c r="M20" i="2" s="1"/>
  <c r="E35" i="1"/>
  <c r="H28" i="1"/>
  <c r="M9" i="2" s="1"/>
  <c r="L9" i="2"/>
  <c r="E28" i="1"/>
  <c r="E27" i="2"/>
  <c r="I52" i="1"/>
  <c r="F27" i="2" s="1"/>
  <c r="I43" i="1"/>
  <c r="F19" i="2" s="1"/>
  <c r="E19" i="2"/>
  <c r="I65" i="1"/>
  <c r="F11" i="2" s="1"/>
  <c r="E11" i="2"/>
  <c r="I51" i="1"/>
  <c r="F26" i="2" s="1"/>
  <c r="E26" i="2"/>
  <c r="I63" i="1"/>
  <c r="F9" i="2" s="1"/>
  <c r="E9" i="2"/>
  <c r="E7" i="2"/>
  <c r="I61" i="1"/>
  <c r="F7" i="2" s="1"/>
  <c r="E29" i="1"/>
  <c r="H29" i="1"/>
  <c r="M10" i="2" s="1"/>
  <c r="L10" i="2"/>
  <c r="H32" i="1"/>
  <c r="M17" i="2" s="1"/>
  <c r="E32" i="1"/>
  <c r="L16" i="2"/>
  <c r="I56" i="1"/>
  <c r="F31" i="2" s="1"/>
  <c r="E31" i="2"/>
  <c r="H27" i="1"/>
  <c r="M8" i="2" s="1"/>
  <c r="E27" i="1"/>
  <c r="L8" i="2"/>
  <c r="L23" i="2"/>
  <c r="H39" i="1"/>
  <c r="E39" i="1"/>
  <c r="I45" i="1"/>
  <c r="F21" i="2" s="1"/>
  <c r="E21" i="2"/>
</calcChain>
</file>

<file path=xl/sharedStrings.xml><?xml version="1.0" encoding="utf-8"?>
<sst xmlns="http://schemas.openxmlformats.org/spreadsheetml/2006/main" count="165" uniqueCount="112">
  <si>
    <t>Width</t>
  </si>
  <si>
    <t>Height</t>
  </si>
  <si>
    <t>Center to Center</t>
  </si>
  <si>
    <t>Center to Edge</t>
  </si>
  <si>
    <t>Note: All calculations assume 3/4” in between panels.</t>
  </si>
  <si>
    <t>Ground/Roof Mounts</t>
  </si>
  <si>
    <t>Rail Length</t>
  </si>
  <si>
    <t># of Panels Supported</t>
  </si>
  <si>
    <t>Extra Rail</t>
  </si>
  <si>
    <t>May Have To Trim</t>
  </si>
  <si>
    <t>Low Profile</t>
  </si>
  <si>
    <t>Rec. Usable</t>
  </si>
  <si>
    <t>Under Wind</t>
  </si>
  <si>
    <t>Max Sqft</t>
  </si>
  <si>
    <t>Model Rating</t>
  </si>
  <si>
    <t>No</t>
  </si>
  <si>
    <t>Yes</t>
  </si>
  <si>
    <t>Top of Pole Mounts</t>
  </si>
  <si>
    <t>Cross Rail Length</t>
  </si>
  <si>
    <t># of Tiers</t>
  </si>
  <si>
    <t>Panel Incompatible (Crash)</t>
  </si>
  <si>
    <t>Two Tier</t>
  </si>
  <si>
    <t>Side of Pole Mounts</t>
  </si>
  <si>
    <t>Bucket Range (Low)</t>
  </si>
  <si>
    <t>Bucket Range (High)</t>
  </si>
  <si>
    <t>Panel Incompatible (Bucket)</t>
  </si>
  <si>
    <t>Length</t>
  </si>
  <si>
    <t>Model</t>
  </si>
  <si>
    <t>(IN)</t>
  </si>
  <si>
    <t>Ground/Roof</t>
  </si>
  <si>
    <t>S</t>
  </si>
  <si>
    <t>G</t>
  </si>
  <si>
    <t>I</t>
  </si>
  <si>
    <t>R</t>
  </si>
  <si>
    <t>D</t>
  </si>
  <si>
    <t>O</t>
  </si>
  <si>
    <t>E</t>
  </si>
  <si>
    <t>U</t>
  </si>
  <si>
    <t>N</t>
  </si>
  <si>
    <t>UNI-SP/03***</t>
  </si>
  <si>
    <t>Low Profile Ground/Roof (Single Row in Portrait Mode)</t>
  </si>
  <si>
    <t>UNI-GR/04H</t>
  </si>
  <si>
    <t>T</t>
  </si>
  <si>
    <t>UNI-GR/04AH</t>
  </si>
  <si>
    <t>UNI-TP/02</t>
  </si>
  <si>
    <t>UNI-GR/06H</t>
  </si>
  <si>
    <t>P</t>
  </si>
  <si>
    <t>UNI-TP/02A</t>
  </si>
  <si>
    <t>UNI-GR/06AH</t>
  </si>
  <si>
    <t>UNI-TP/03</t>
  </si>
  <si>
    <t>UNI-GR/08H</t>
  </si>
  <si>
    <t>UNI-TP/04</t>
  </si>
  <si>
    <t>UNI-GR/10H</t>
  </si>
  <si>
    <t>UNI-TP/04A</t>
  </si>
  <si>
    <t>UNI-GR/12H</t>
  </si>
  <si>
    <t>UNI-GR/14H</t>
  </si>
  <si>
    <t>UNI-TP/06LL</t>
  </si>
  <si>
    <t>Dimensions</t>
  </si>
  <si>
    <t>UNI-TP/08</t>
  </si>
  <si>
    <t>inches</t>
  </si>
  <si>
    <t>UNI-TP/08LL</t>
  </si>
  <si>
    <t>UNI-TP/10</t>
  </si>
  <si>
    <t>UNI-TP/10LL</t>
  </si>
  <si>
    <t>UNI-TP/12</t>
  </si>
  <si>
    <t xml:space="preserve"> We try and maintain this document's accuracy to the best of our abilities, however, some panel spacing problems can arise on rare occasions. Please call 800-819-7236 if you experience any trouble with mount sizing.</t>
  </si>
  <si>
    <t>Driving Cell Color (Fill this data in and the rest of the spreadsheet will populate)</t>
  </si>
  <si>
    <t>Panel Name\model</t>
  </si>
  <si>
    <t>Panel surfaceSq Ft:</t>
  </si>
  <si>
    <t>Tamarack Solar</t>
  </si>
  <si>
    <t>Mount Sizing Calculator</t>
  </si>
  <si>
    <t xml:space="preserve">Instructions: </t>
  </si>
  <si>
    <t>Under Wind rating</t>
  </si>
  <si>
    <t>C-to-C</t>
  </si>
  <si>
    <t>C-to-Edge</t>
  </si>
  <si>
    <t>UNI-SP/03</t>
  </si>
  <si>
    <t>UNI-SP/02X</t>
  </si>
  <si>
    <t>UNI-SP/02A</t>
  </si>
  <si>
    <t>UNI-SP/02</t>
  </si>
  <si>
    <t>UNI-SP/01XX</t>
  </si>
  <si>
    <t>UNI-SP/01A</t>
  </si>
  <si>
    <t>UNI-GR/70CV (prev 03)</t>
  </si>
  <si>
    <t>UNI-GR/90CV (prev 04)</t>
  </si>
  <si>
    <t>UNI-GR/110CV (prev 04A)</t>
  </si>
  <si>
    <t>UNI-GR/115CV (prev 05)</t>
  </si>
  <si>
    <t>UNI-SP/03W</t>
  </si>
  <si>
    <t>Top of Pole – Single Tier- 4” sch-40 pipe (4.5Ø)</t>
  </si>
  <si>
    <t>Top of Pole – Double Tier- 6” sch-40 pipe (6.62Ø)</t>
  </si>
  <si>
    <t>Side of Pole- , 2 3/8” Ø to 4.5” Ø Steel Pipe</t>
  </si>
  <si>
    <t>Number of modules per mount</t>
  </si>
  <si>
    <t>Support Rail Length</t>
  </si>
  <si>
    <t>waste/unused support rail</t>
  </si>
  <si>
    <t>90 mph*</t>
  </si>
  <si>
    <t>90 mph</t>
  </si>
  <si>
    <r>
      <rPr>
        <sz val="10"/>
        <color indexed="8"/>
        <rFont val="Lucida Sans Unicode"/>
        <family val="2"/>
      </rPr>
      <t>UNI-TP/12LL</t>
    </r>
    <r>
      <rPr>
        <sz val="8"/>
        <color indexed="8"/>
        <rFont val="Lucida Sans Unicode"/>
        <family val="2"/>
      </rPr>
      <t>-For larger 60c and 72c modules use 4TP/6072</t>
    </r>
  </si>
  <si>
    <t>MODULE NAME</t>
  </si>
  <si>
    <t>ENTER USING EITHER MM Or INCHES</t>
  </si>
  <si>
    <t>MILLIMETER</t>
  </si>
  <si>
    <t>INCHES (equation based on MM)</t>
  </si>
  <si>
    <t xml:space="preserve">You can use either portrait or landscape dimensions based on the illustrations below to find what works best for the number of solar modules you will be using. Keep in mind that the dimensions change when going from portrait to landscape. When all four of the dimensional fields are completed, click the second tab "compatible mounts" at the bottom of the sheet to see the results. </t>
  </si>
  <si>
    <t>Suggestions:</t>
  </si>
  <si>
    <t>- If the center to edge measurement is not on the spec sheet, subtract center to center from length and divide by 2</t>
  </si>
  <si>
    <t>-The top of pole mounts (TP) will handle more modules than the side of pole mounts. Most of the larger 60 &amp; 72 cell modules work best in portrait orientation</t>
  </si>
  <si>
    <t>-Some 60 &amp; 72 cell modules have two mounting holes, typcally the holes set closer together work best</t>
  </si>
  <si>
    <t>-Type in the MODULE NAME and keep a copy of the compatible mounts for future use</t>
  </si>
  <si>
    <r>
      <t>UNI-SP/01_x000B__x001D_</t>
    </r>
    <r>
      <rPr>
        <sz val="10"/>
        <color indexed="8"/>
        <rFont val="Lucida Sans Unicode"/>
        <family val="2"/>
      </rPr>
      <t/>
    </r>
  </si>
  <si>
    <t>Bucket Min: 18.9", Max: 28.7"</t>
  </si>
  <si>
    <r>
      <t>UNI-SP/01XH</t>
    </r>
    <r>
      <rPr>
        <sz val="10"/>
        <color indexed="8"/>
        <rFont val="Lucida Sans Unicode"/>
        <family val="2"/>
      </rPr>
      <t xml:space="preserve">                           </t>
    </r>
  </si>
  <si>
    <t>Bucket Min: 29.2", Max: 39.0"</t>
  </si>
  <si>
    <t>Bucket Min: 29.2", Max: 39.0" (WLR 110mph)</t>
  </si>
  <si>
    <t>Original Module Sq Foot</t>
  </si>
  <si>
    <t>Mounts 3 60/72 modules in Landscape</t>
  </si>
  <si>
    <t>UNI-GR/125CV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</si>
</sst>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28">
    <font>
      <sz val="10"/>
      <name val="Arial"/>
    </font>
    <font>
      <b/>
      <sz val="10"/>
      <color indexed="8"/>
      <name val="Arial"/>
      <family val="2"/>
    </font>
    <font>
      <sz val="10"/>
      <color indexed="8"/>
      <name val="Arial"/>
      <family val="2"/>
    </font>
    <font>
      <sz val="8"/>
      <name val="Arial"/>
      <family val="2"/>
    </font>
    <font>
      <sz val="11"/>
      <color indexed="8"/>
      <name val="Arial"/>
      <family val="2"/>
    </font>
    <font>
      <b/>
      <sz val="11"/>
      <color indexed="8"/>
      <name val="arial,sans-serif"/>
    </font>
    <font>
      <sz val="11"/>
      <name val="Arial"/>
      <family val="2"/>
    </font>
    <font>
      <b/>
      <sz val="11"/>
      <color indexed="8"/>
      <name val="Lucida Sans Unicode"/>
      <family val="2"/>
    </font>
    <font>
      <sz val="11"/>
      <color indexed="8"/>
      <name val="arial,sans-serif"/>
    </font>
    <font>
      <sz val="11"/>
      <color indexed="8"/>
      <name val="Lucida Sans Unicode"/>
      <family val="2"/>
    </font>
    <font>
      <b/>
      <sz val="11"/>
      <color rgb="FFFF0000"/>
      <name val="Lucida Sans Unicode"/>
      <family val="2"/>
    </font>
    <font>
      <b/>
      <sz val="11"/>
      <color indexed="8"/>
      <name val="Arial"/>
      <family val="2"/>
    </font>
    <font>
      <b/>
      <sz val="11"/>
      <name val="Arial"/>
      <family val="2"/>
    </font>
    <font>
      <b/>
      <sz val="10"/>
      <name val="Arial"/>
      <family val="2"/>
    </font>
    <font>
      <sz val="10"/>
      <name val="Arial"/>
      <family val="2"/>
    </font>
    <font>
      <u/>
      <sz val="10"/>
      <color theme="10"/>
      <name val="Arial"/>
      <family val="2"/>
    </font>
    <font>
      <b/>
      <sz val="10"/>
      <color rgb="FF00B0F0"/>
      <name val="arial,sans-serif"/>
    </font>
    <font>
      <b/>
      <sz val="11"/>
      <color rgb="FF00B0F0"/>
      <name val="Lucida Sans Unicode"/>
      <family val="2"/>
    </font>
    <font>
      <sz val="11"/>
      <name val="Lucida Sans Unicode"/>
      <family val="2"/>
    </font>
    <font>
      <sz val="9"/>
      <color indexed="8"/>
      <name val="Arial"/>
      <family val="2"/>
    </font>
    <font>
      <b/>
      <sz val="8"/>
      <color indexed="8"/>
      <name val="Arial"/>
      <family val="2"/>
    </font>
    <font>
      <sz val="10"/>
      <color indexed="12"/>
      <name val="Arial"/>
      <family val="2"/>
    </font>
    <font>
      <sz val="11"/>
      <name val="arial,sans-serif"/>
    </font>
    <font>
      <sz val="11"/>
      <color theme="0"/>
      <name val="Lucida Sans Unicode"/>
      <family val="2"/>
    </font>
    <font>
      <b/>
      <sz val="11"/>
      <color theme="0"/>
      <name val="Lucida Sans Unicode"/>
      <family val="2"/>
    </font>
    <font>
      <sz val="10"/>
      <color indexed="8"/>
      <name val="Lucida Sans Unicode"/>
      <family val="2"/>
    </font>
    <font>
      <sz val="8"/>
      <color indexed="8"/>
      <name val="Lucida Sans Unicode"/>
      <family val="2"/>
    </font>
    <font>
      <sz val="16"/>
      <name val="Arial"/>
      <family val="2"/>
    </font>
  </fonts>
  <fills count="8">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rgb="FFCCCCFF"/>
        <bgColor indexed="64"/>
      </patternFill>
    </fill>
    <fill>
      <patternFill patternType="solid">
        <fgColor theme="0"/>
        <bgColor indexed="64"/>
      </patternFill>
    </fill>
  </fills>
  <borders count="29">
    <border>
      <left/>
      <right/>
      <top/>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diagonal/>
    </border>
    <border>
      <left/>
      <right style="thin">
        <color indexed="64"/>
      </right>
      <top/>
      <bottom/>
      <diagonal/>
    </border>
    <border>
      <left/>
      <right style="thin">
        <color indexed="8"/>
      </right>
      <top/>
      <bottom style="thin">
        <color indexed="64"/>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pplyNumberFormat="0" applyFont="0" applyFill="0" applyBorder="0" applyAlignment="0" applyProtection="0"/>
    <xf numFmtId="0" fontId="15" fillId="0" borderId="0" applyNumberFormat="0" applyFill="0" applyBorder="0" applyAlignment="0" applyProtection="0"/>
  </cellStyleXfs>
  <cellXfs count="155">
    <xf numFmtId="0" fontId="0" fillId="0" borderId="0" xfId="0" applyNumberFormat="1" applyFont="1" applyFill="1" applyBorder="1" applyAlignment="1"/>
    <xf numFmtId="0" fontId="7" fillId="0" borderId="3" xfId="0" applyNumberFormat="1" applyFont="1" applyFill="1" applyBorder="1" applyAlignment="1">
      <alignment horizontal="center"/>
    </xf>
    <xf numFmtId="0" fontId="7" fillId="0" borderId="4" xfId="0" applyNumberFormat="1" applyFont="1" applyFill="1" applyBorder="1" applyAlignment="1">
      <alignment horizontal="center"/>
    </xf>
    <xf numFmtId="0" fontId="7" fillId="0" borderId="5" xfId="0" applyNumberFormat="1" applyFont="1" applyFill="1" applyBorder="1" applyAlignment="1">
      <alignment horizontal="center"/>
    </xf>
    <xf numFmtId="0" fontId="8" fillId="0" borderId="0" xfId="0" applyNumberFormat="1" applyFont="1" applyFill="1" applyBorder="1" applyAlignment="1">
      <alignment horizontal="center"/>
    </xf>
    <xf numFmtId="0" fontId="2" fillId="0" borderId="0"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4" fillId="0" borderId="0" xfId="0" applyNumberFormat="1" applyFont="1" applyFill="1" applyBorder="1" applyAlignment="1">
      <alignment horizontal="center" wrapText="1"/>
    </xf>
    <xf numFmtId="0" fontId="6" fillId="0" borderId="0" xfId="0" applyNumberFormat="1" applyFont="1" applyFill="1" applyBorder="1" applyAlignment="1">
      <alignment horizontal="center"/>
    </xf>
    <xf numFmtId="0" fontId="4" fillId="0" borderId="1" xfId="0" applyNumberFormat="1" applyFont="1" applyFill="1" applyBorder="1" applyAlignment="1">
      <alignment horizontal="center" wrapText="1"/>
    </xf>
    <xf numFmtId="0" fontId="4" fillId="0" borderId="2" xfId="0" applyNumberFormat="1" applyFont="1" applyFill="1" applyBorder="1" applyAlignment="1">
      <alignment horizontal="center" wrapText="1"/>
    </xf>
    <xf numFmtId="0" fontId="4" fillId="0" borderId="4" xfId="0" applyNumberFormat="1" applyFont="1" applyFill="1" applyBorder="1" applyAlignment="1">
      <alignment horizontal="center" wrapText="1"/>
    </xf>
    <xf numFmtId="0" fontId="4" fillId="0" borderId="8" xfId="0" applyNumberFormat="1" applyFont="1" applyFill="1" applyBorder="1" applyAlignment="1">
      <alignment horizontal="center" wrapText="1"/>
    </xf>
    <xf numFmtId="0" fontId="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wrapText="1"/>
    </xf>
    <xf numFmtId="49" fontId="10" fillId="0" borderId="5" xfId="0" applyNumberFormat="1" applyFont="1" applyFill="1" applyBorder="1" applyAlignment="1">
      <alignment horizontal="center" wrapText="1"/>
    </xf>
    <xf numFmtId="0" fontId="10" fillId="0" borderId="5" xfId="0" applyNumberFormat="1" applyFont="1" applyFill="1" applyBorder="1" applyAlignment="1">
      <alignment horizontal="center" wrapText="1"/>
    </xf>
    <xf numFmtId="0" fontId="11" fillId="0" borderId="1" xfId="0" applyNumberFormat="1" applyFont="1" applyFill="1" applyBorder="1" applyAlignment="1">
      <alignment horizontal="center" wrapText="1"/>
    </xf>
    <xf numFmtId="49" fontId="7" fillId="0" borderId="4" xfId="0" applyNumberFormat="1" applyFont="1" applyFill="1" applyBorder="1" applyAlignment="1">
      <alignment horizontal="center" wrapText="1"/>
    </xf>
    <xf numFmtId="0" fontId="11" fillId="0" borderId="8"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0" fontId="12" fillId="0" borderId="0" xfId="0" applyNumberFormat="1" applyFont="1" applyFill="1" applyBorder="1" applyAlignment="1">
      <alignment horizontal="center"/>
    </xf>
    <xf numFmtId="0" fontId="5" fillId="0" borderId="2" xfId="0" applyNumberFormat="1" applyFont="1" applyFill="1" applyBorder="1" applyAlignment="1">
      <alignment horizontal="center" vertical="center"/>
    </xf>
    <xf numFmtId="0" fontId="9" fillId="4" borderId="7" xfId="0" applyNumberFormat="1" applyFont="1" applyFill="1" applyBorder="1" applyAlignment="1">
      <alignment horizontal="left" vertical="center"/>
    </xf>
    <xf numFmtId="2" fontId="9" fillId="4" borderId="7" xfId="0" applyNumberFormat="1" applyFont="1" applyFill="1" applyBorder="1" applyAlignment="1">
      <alignment horizontal="center" vertical="center"/>
    </xf>
    <xf numFmtId="0" fontId="9" fillId="4" borderId="7" xfId="0" applyNumberFormat="1" applyFont="1" applyFill="1" applyBorder="1" applyAlignment="1">
      <alignment horizontal="center" vertical="center"/>
    </xf>
    <xf numFmtId="0" fontId="10" fillId="4" borderId="7"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9" fillId="0" borderId="7" xfId="0" applyNumberFormat="1" applyFont="1" applyFill="1" applyBorder="1" applyAlignment="1">
      <alignment horizontal="left" vertical="center"/>
    </xf>
    <xf numFmtId="2" fontId="9" fillId="0" borderId="7"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13" fillId="0" borderId="0" xfId="0" applyNumberFormat="1" applyFont="1" applyFill="1" applyBorder="1" applyAlignment="1">
      <alignment horizontal="center"/>
    </xf>
    <xf numFmtId="0" fontId="1" fillId="0" borderId="0" xfId="0" applyNumberFormat="1" applyFont="1" applyFill="1" applyBorder="1" applyAlignment="1"/>
    <xf numFmtId="0" fontId="14" fillId="0" borderId="0" xfId="0" applyNumberFormat="1" applyFont="1" applyFill="1" applyBorder="1" applyAlignment="1">
      <alignment horizontal="left" indent="1"/>
    </xf>
    <xf numFmtId="0" fontId="4" fillId="0" borderId="0" xfId="0" applyNumberFormat="1" applyFont="1" applyFill="1" applyBorder="1" applyAlignment="1">
      <alignment horizontal="center" wrapText="1"/>
    </xf>
    <xf numFmtId="0" fontId="15" fillId="0" borderId="0" xfId="1" applyNumberFormat="1" applyFill="1" applyBorder="1" applyAlignment="1">
      <alignment horizontal="center" wrapText="1"/>
    </xf>
    <xf numFmtId="0" fontId="17" fillId="0" borderId="0" xfId="0" applyFont="1" applyBorder="1" applyAlignment="1">
      <alignment horizontal="center"/>
    </xf>
    <xf numFmtId="0" fontId="10" fillId="4" borderId="9"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10" fillId="5" borderId="9" xfId="0" applyNumberFormat="1" applyFont="1" applyFill="1" applyBorder="1" applyAlignment="1">
      <alignment horizontal="center" vertical="center"/>
    </xf>
    <xf numFmtId="0" fontId="5" fillId="0" borderId="12" xfId="0" applyNumberFormat="1" applyFont="1" applyFill="1" applyBorder="1" applyAlignment="1">
      <alignment horizontal="center"/>
    </xf>
    <xf numFmtId="0" fontId="4" fillId="0" borderId="12" xfId="0" applyNumberFormat="1" applyFont="1" applyFill="1" applyBorder="1" applyAlignment="1">
      <alignment horizontal="center" wrapText="1"/>
    </xf>
    <xf numFmtId="0" fontId="4" fillId="0" borderId="13" xfId="0" applyNumberFormat="1" applyFont="1" applyFill="1" applyBorder="1" applyAlignment="1">
      <alignment horizontal="center" wrapText="1"/>
    </xf>
    <xf numFmtId="0" fontId="16" fillId="0" borderId="13" xfId="0" applyNumberFormat="1" applyFont="1" applyFill="1" applyBorder="1" applyAlignment="1">
      <alignment horizontal="center" wrapText="1"/>
    </xf>
    <xf numFmtId="0" fontId="5" fillId="0" borderId="12" xfId="0" applyNumberFormat="1" applyFont="1" applyFill="1" applyBorder="1" applyAlignment="1">
      <alignment horizontal="center" vertical="center"/>
    </xf>
    <xf numFmtId="0" fontId="18" fillId="4" borderId="7" xfId="0" applyNumberFormat="1" applyFont="1" applyFill="1" applyBorder="1" applyAlignment="1">
      <alignment horizontal="center" vertical="center"/>
    </xf>
    <xf numFmtId="0" fontId="18" fillId="4" borderId="11" xfId="0" applyNumberFormat="1" applyFont="1" applyFill="1" applyBorder="1" applyAlignment="1">
      <alignment horizontal="center" vertical="center"/>
    </xf>
    <xf numFmtId="0" fontId="18" fillId="0" borderId="11" xfId="0" applyNumberFormat="1" applyFont="1" applyFill="1" applyBorder="1" applyAlignment="1">
      <alignment horizontal="center" vertical="center"/>
    </xf>
    <xf numFmtId="2" fontId="18" fillId="0" borderId="11" xfId="0" applyNumberFormat="1" applyFont="1" applyBorder="1" applyAlignment="1">
      <alignment horizontal="center" vertical="center"/>
    </xf>
    <xf numFmtId="0" fontId="8" fillId="0" borderId="5"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165" fontId="9" fillId="4" borderId="7" xfId="0" applyNumberFormat="1" applyFont="1" applyFill="1" applyBorder="1" applyAlignment="1">
      <alignment horizontal="center" vertical="center"/>
    </xf>
    <xf numFmtId="165" fontId="9" fillId="0" borderId="7"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18" fillId="0" borderId="7" xfId="0" applyNumberFormat="1" applyFont="1" applyFill="1" applyBorder="1" applyAlignment="1">
      <alignment horizontal="center" vertical="center"/>
    </xf>
    <xf numFmtId="0" fontId="14" fillId="0" borderId="0" xfId="0" applyNumberFormat="1" applyFont="1" applyFill="1" applyBorder="1" applyAlignment="1"/>
    <xf numFmtId="0" fontId="14" fillId="0" borderId="0" xfId="0" applyNumberFormat="1" applyFont="1" applyFill="1" applyBorder="1" applyAlignment="1">
      <alignment horizontal="center"/>
    </xf>
    <xf numFmtId="0" fontId="2" fillId="2" borderId="0" xfId="0" applyNumberFormat="1" applyFont="1" applyFill="1" applyBorder="1" applyAlignment="1">
      <alignment horizontal="center"/>
    </xf>
    <xf numFmtId="0" fontId="19" fillId="0" borderId="0" xfId="0" applyNumberFormat="1" applyFont="1" applyFill="1" applyBorder="1" applyAlignment="1">
      <alignment vertical="center"/>
    </xf>
    <xf numFmtId="0" fontId="20" fillId="0" borderId="0" xfId="0" applyNumberFormat="1" applyFont="1" applyFill="1" applyBorder="1" applyAlignment="1"/>
    <xf numFmtId="0" fontId="1" fillId="0" borderId="0" xfId="0" applyNumberFormat="1" applyFont="1" applyFill="1" applyBorder="1" applyAlignment="1">
      <alignment horizontal="center"/>
    </xf>
    <xf numFmtId="0" fontId="13" fillId="2" borderId="0" xfId="0" applyNumberFormat="1" applyFont="1" applyFill="1" applyBorder="1" applyAlignment="1">
      <alignment horizontal="center"/>
    </xf>
    <xf numFmtId="0" fontId="1" fillId="0" borderId="0" xfId="0" applyNumberFormat="1" applyFont="1" applyFill="1" applyBorder="1" applyAlignment="1">
      <alignment horizontal="right"/>
    </xf>
    <xf numFmtId="164" fontId="2" fillId="0" borderId="0" xfId="0" applyNumberFormat="1" applyFont="1" applyFill="1" applyBorder="1" applyAlignment="1">
      <alignment horizontal="left"/>
    </xf>
    <xf numFmtId="0" fontId="21" fillId="0" borderId="0" xfId="0" applyNumberFormat="1" applyFont="1" applyFill="1" applyBorder="1" applyAlignment="1">
      <alignment horizontal="center" wrapText="1"/>
    </xf>
    <xf numFmtId="0" fontId="2" fillId="0" borderId="0" xfId="0" applyNumberFormat="1" applyFont="1" applyFill="1" applyBorder="1" applyAlignment="1">
      <alignment horizontal="center"/>
    </xf>
    <xf numFmtId="0" fontId="2" fillId="3" borderId="0" xfId="0" applyNumberFormat="1" applyFont="1" applyFill="1" applyBorder="1" applyAlignment="1">
      <alignment horizontal="center"/>
    </xf>
    <xf numFmtId="0" fontId="15" fillId="0" borderId="0" xfId="1" applyNumberFormat="1" applyFont="1" applyFill="1" applyBorder="1" applyAlignment="1">
      <alignment horizontal="center" wrapText="1"/>
    </xf>
    <xf numFmtId="2" fontId="1" fillId="2" borderId="0" xfId="0" applyNumberFormat="1" applyFont="1" applyFill="1" applyBorder="1" applyAlignment="1">
      <alignment horizontal="center"/>
    </xf>
    <xf numFmtId="2" fontId="22" fillId="0" borderId="10" xfId="0" applyNumberFormat="1" applyFont="1" applyFill="1" applyBorder="1" applyAlignment="1">
      <alignment horizontal="center" vertical="center"/>
    </xf>
    <xf numFmtId="2" fontId="22" fillId="0" borderId="9" xfId="0" applyNumberFormat="1" applyFont="1" applyFill="1" applyBorder="1" applyAlignment="1">
      <alignment horizontal="center" vertical="center"/>
    </xf>
    <xf numFmtId="2" fontId="22" fillId="0" borderId="19" xfId="0" applyNumberFormat="1" applyFont="1" applyFill="1" applyBorder="1" applyAlignment="1">
      <alignment horizontal="center" vertical="center"/>
    </xf>
    <xf numFmtId="0" fontId="6" fillId="0" borderId="0" xfId="0" applyNumberFormat="1" applyFont="1" applyFill="1" applyBorder="1" applyAlignment="1">
      <alignment horizontal="left"/>
    </xf>
    <xf numFmtId="0" fontId="18" fillId="4" borderId="7"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7" fillId="0" borderId="0" xfId="0" applyFont="1" applyBorder="1" applyAlignment="1">
      <alignment horizontal="left"/>
    </xf>
    <xf numFmtId="2" fontId="18" fillId="0" borderId="14" xfId="0" applyNumberFormat="1" applyFont="1" applyFill="1" applyBorder="1" applyAlignment="1">
      <alignment horizontal="left" vertical="center"/>
    </xf>
    <xf numFmtId="2" fontId="18" fillId="0" borderId="11" xfId="0" applyNumberFormat="1" applyFont="1" applyFill="1" applyBorder="1" applyAlignment="1">
      <alignment horizontal="left" vertical="center"/>
    </xf>
    <xf numFmtId="2" fontId="7" fillId="0" borderId="11" xfId="0" applyNumberFormat="1" applyFont="1" applyFill="1" applyBorder="1" applyAlignment="1">
      <alignment horizontal="left" vertical="center"/>
    </xf>
    <xf numFmtId="2" fontId="10" fillId="0" borderId="11" xfId="0" applyNumberFormat="1" applyFont="1" applyFill="1" applyBorder="1" applyAlignment="1">
      <alignment horizontal="left" vertical="center"/>
    </xf>
    <xf numFmtId="165" fontId="9" fillId="6" borderId="7" xfId="0" applyNumberFormat="1" applyFont="1" applyFill="1" applyBorder="1" applyAlignment="1">
      <alignment horizontal="center" vertical="center"/>
    </xf>
    <xf numFmtId="0" fontId="9" fillId="6" borderId="7" xfId="0" applyNumberFormat="1" applyFont="1" applyFill="1" applyBorder="1" applyAlignment="1">
      <alignment horizontal="left" vertical="center"/>
    </xf>
    <xf numFmtId="0" fontId="10" fillId="6" borderId="9" xfId="0" applyNumberFormat="1" applyFont="1" applyFill="1" applyBorder="1" applyAlignment="1">
      <alignment horizontal="center" vertical="center"/>
    </xf>
    <xf numFmtId="0" fontId="18" fillId="6" borderId="11" xfId="0" applyNumberFormat="1" applyFont="1" applyFill="1" applyBorder="1" applyAlignment="1">
      <alignment horizontal="center" vertical="center"/>
    </xf>
    <xf numFmtId="0" fontId="18" fillId="0" borderId="7" xfId="0" applyNumberFormat="1" applyFont="1" applyFill="1" applyBorder="1" applyAlignment="1">
      <alignment horizontal="left" vertical="center"/>
    </xf>
    <xf numFmtId="0" fontId="23" fillId="0" borderId="7" xfId="0" applyNumberFormat="1" applyFont="1" applyFill="1" applyBorder="1" applyAlignment="1">
      <alignment horizontal="left" vertical="center"/>
    </xf>
    <xf numFmtId="2" fontId="23" fillId="0" borderId="7" xfId="0" applyNumberFormat="1" applyFont="1" applyFill="1" applyBorder="1" applyAlignment="1">
      <alignment horizontal="center" vertical="center"/>
    </xf>
    <xf numFmtId="0" fontId="23" fillId="0" borderId="7" xfId="0" applyNumberFormat="1" applyFont="1" applyFill="1" applyBorder="1" applyAlignment="1">
      <alignment horizontal="center" vertical="center"/>
    </xf>
    <xf numFmtId="0" fontId="24" fillId="0" borderId="7"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9" fillId="0" borderId="3" xfId="0" applyNumberFormat="1" applyFont="1" applyFill="1" applyBorder="1" applyAlignment="1">
      <alignment horizontal="left" vertical="center"/>
    </xf>
    <xf numFmtId="2" fontId="9" fillId="0" borderId="3"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0" fontId="18" fillId="0" borderId="3" xfId="0" applyNumberFormat="1" applyFont="1" applyFill="1" applyBorder="1" applyAlignment="1">
      <alignment horizontal="left" vertical="center"/>
    </xf>
    <xf numFmtId="0" fontId="9" fillId="0" borderId="5" xfId="0" applyNumberFormat="1" applyFont="1" applyFill="1" applyBorder="1" applyAlignment="1">
      <alignment horizontal="left" vertical="center"/>
    </xf>
    <xf numFmtId="0" fontId="10" fillId="0" borderId="5" xfId="0" applyNumberFormat="1" applyFont="1" applyFill="1" applyBorder="1" applyAlignment="1">
      <alignment horizontal="center" vertical="center"/>
    </xf>
    <xf numFmtId="0" fontId="18" fillId="4" borderId="5" xfId="0" applyNumberFormat="1" applyFont="1" applyFill="1" applyBorder="1" applyAlignment="1">
      <alignment horizontal="center" vertical="center"/>
    </xf>
    <xf numFmtId="0" fontId="18" fillId="4" borderId="5" xfId="0" applyNumberFormat="1" applyFont="1" applyFill="1" applyBorder="1" applyAlignment="1">
      <alignment horizontal="left" vertical="center"/>
    </xf>
    <xf numFmtId="0" fontId="6" fillId="0" borderId="11" xfId="0" applyNumberFormat="1" applyFont="1" applyFill="1" applyBorder="1" applyAlignment="1">
      <alignment horizontal="center" vertical="center"/>
    </xf>
    <xf numFmtId="0" fontId="9" fillId="0" borderId="7" xfId="0" applyNumberFormat="1" applyFont="1" applyFill="1" applyBorder="1" applyAlignment="1">
      <alignment horizontal="left" vertical="center" wrapText="1"/>
    </xf>
    <xf numFmtId="0" fontId="26" fillId="0" borderId="7"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wrapText="1"/>
    </xf>
    <xf numFmtId="0" fontId="27" fillId="0" borderId="0" xfId="0" applyNumberFormat="1" applyFont="1" applyFill="1" applyBorder="1" applyAlignment="1">
      <alignment horizontal="left"/>
    </xf>
    <xf numFmtId="0" fontId="14" fillId="0" borderId="0" xfId="0" quotePrefix="1" applyNumberFormat="1" applyFont="1" applyFill="1" applyBorder="1" applyAlignment="1">
      <alignment horizontal="left"/>
    </xf>
    <xf numFmtId="0" fontId="14" fillId="0" borderId="0" xfId="0" quotePrefix="1" applyNumberFormat="1" applyFont="1" applyFill="1" applyBorder="1" applyAlignment="1"/>
    <xf numFmtId="0" fontId="13" fillId="0" borderId="0" xfId="0" applyNumberFormat="1" applyFont="1" applyFill="1" applyBorder="1" applyAlignment="1">
      <alignment horizontal="left"/>
    </xf>
    <xf numFmtId="0" fontId="9" fillId="4" borderId="7" xfId="0" applyNumberFormat="1" applyFont="1" applyFill="1" applyBorder="1" applyAlignment="1">
      <alignment horizontal="left" vertical="center" wrapText="1"/>
    </xf>
    <xf numFmtId="0" fontId="25" fillId="4" borderId="7" xfId="0" applyNumberFormat="1" applyFont="1" applyFill="1" applyBorder="1" applyAlignment="1">
      <alignment horizontal="left" vertical="center" wrapText="1"/>
    </xf>
    <xf numFmtId="0" fontId="9" fillId="7" borderId="7" xfId="0" applyNumberFormat="1" applyFont="1" applyFill="1" applyBorder="1" applyAlignment="1">
      <alignment horizontal="left" vertical="center"/>
    </xf>
    <xf numFmtId="0" fontId="9" fillId="6" borderId="3" xfId="0" applyNumberFormat="1" applyFont="1" applyFill="1" applyBorder="1" applyAlignment="1">
      <alignment horizontal="left" vertical="center"/>
    </xf>
    <xf numFmtId="0" fontId="14" fillId="0" borderId="0" xfId="0" applyNumberFormat="1" applyFont="1" applyFill="1" applyBorder="1" applyAlignment="1">
      <alignment horizontal="left" wrapText="1"/>
    </xf>
    <xf numFmtId="0" fontId="14" fillId="0" borderId="0" xfId="0" quotePrefix="1" applyNumberFormat="1" applyFont="1" applyFill="1" applyBorder="1" applyAlignment="1">
      <alignment horizontal="left" wrapText="1"/>
    </xf>
    <xf numFmtId="0" fontId="5" fillId="0" borderId="0" xfId="0" applyNumberFormat="1" applyFont="1" applyFill="1" applyBorder="1" applyAlignment="1">
      <alignment horizontal="center"/>
    </xf>
    <xf numFmtId="0" fontId="4" fillId="0" borderId="0" xfId="0" applyNumberFormat="1" applyFont="1" applyFill="1" applyBorder="1" applyAlignment="1">
      <alignment horizontal="center" wrapText="1"/>
    </xf>
    <xf numFmtId="0" fontId="7" fillId="0" borderId="6" xfId="0" applyFont="1" applyBorder="1" applyAlignment="1">
      <alignment horizont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2" fontId="7" fillId="0" borderId="15" xfId="0" applyNumberFormat="1" applyFont="1" applyBorder="1" applyAlignment="1">
      <alignment horizontal="center" vertical="center"/>
    </xf>
    <xf numFmtId="2" fontId="7" fillId="0" borderId="1" xfId="0" applyNumberFormat="1" applyFont="1" applyBorder="1" applyAlignment="1">
      <alignment horizontal="center" vertical="center"/>
    </xf>
    <xf numFmtId="2" fontId="7" fillId="0" borderId="16" xfId="0" applyNumberFormat="1" applyFont="1" applyBorder="1" applyAlignment="1">
      <alignment horizontal="center" vertical="center"/>
    </xf>
    <xf numFmtId="0" fontId="5" fillId="0" borderId="3" xfId="0" applyNumberFormat="1" applyFont="1" applyFill="1" applyBorder="1" applyAlignment="1">
      <alignment horizontal="center" wrapText="1"/>
    </xf>
    <xf numFmtId="0" fontId="5" fillId="0" borderId="4" xfId="0" applyNumberFormat="1"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4" xfId="0" applyNumberFormat="1" applyFont="1" applyFill="1" applyBorder="1" applyAlignment="1">
      <alignment horizontal="center" wrapText="1"/>
    </xf>
    <xf numFmtId="49" fontId="18" fillId="0" borderId="12" xfId="0" applyNumberFormat="1" applyFont="1" applyFill="1" applyBorder="1" applyAlignment="1">
      <alignment horizontal="center" wrapText="1"/>
    </xf>
    <xf numFmtId="49" fontId="18" fillId="0" borderId="4" xfId="0" applyNumberFormat="1" applyFont="1" applyFill="1" applyBorder="1" applyAlignment="1">
      <alignment horizontal="center" wrapText="1"/>
    </xf>
    <xf numFmtId="49" fontId="18" fillId="0" borderId="13" xfId="0" applyNumberFormat="1" applyFont="1" applyFill="1" applyBorder="1" applyAlignment="1">
      <alignment horizontal="center" wrapText="1"/>
    </xf>
    <xf numFmtId="0" fontId="8" fillId="0" borderId="0"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49" fontId="10" fillId="0" borderId="11" xfId="0" applyNumberFormat="1" applyFont="1" applyFill="1" applyBorder="1" applyAlignment="1">
      <alignment horizontal="center" wrapText="1"/>
    </xf>
    <xf numFmtId="0" fontId="8" fillId="0" borderId="22"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2" fontId="7" fillId="0" borderId="17" xfId="0" applyNumberFormat="1" applyFont="1" applyBorder="1" applyAlignment="1">
      <alignment horizontal="center" vertical="center"/>
    </xf>
    <xf numFmtId="2" fontId="7" fillId="0" borderId="6" xfId="0" applyNumberFormat="1" applyFont="1" applyBorder="1" applyAlignment="1">
      <alignment horizontal="center" vertical="center"/>
    </xf>
    <xf numFmtId="2" fontId="7" fillId="0" borderId="18" xfId="0" applyNumberFormat="1" applyFont="1" applyBorder="1" applyAlignment="1">
      <alignment horizontal="center" vertical="center"/>
    </xf>
    <xf numFmtId="0" fontId="6" fillId="6" borderId="26" xfId="0" applyNumberFormat="1" applyFont="1" applyFill="1" applyBorder="1" applyAlignment="1">
      <alignment horizontal="center" vertical="center"/>
    </xf>
    <xf numFmtId="0" fontId="6" fillId="6" borderId="27" xfId="0" applyNumberFormat="1" applyFont="1" applyFill="1" applyBorder="1" applyAlignment="1">
      <alignment horizontal="center" vertical="center"/>
    </xf>
    <xf numFmtId="0" fontId="6" fillId="6" borderId="28"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8080"/>
      <rgbColor rgb="00CCCCFF"/>
      <rgbColor rgb="000000FF"/>
      <rgbColor rgb="00FFFF99"/>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124691</xdr:colOff>
      <xdr:row>71</xdr:row>
      <xdr:rowOff>27707</xdr:rowOff>
    </xdr:from>
    <xdr:to>
      <xdr:col>5</xdr:col>
      <xdr:colOff>870975</xdr:colOff>
      <xdr:row>94</xdr:row>
      <xdr:rowOff>138544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9527" y="2687780"/>
          <a:ext cx="2602793" cy="3934691"/>
        </a:xfrm>
        <a:prstGeom prst="rect">
          <a:avLst/>
        </a:prstGeom>
      </xdr:spPr>
    </xdr:pic>
    <xdr:clientData/>
  </xdr:twoCellAnchor>
  <xdr:twoCellAnchor editAs="oneCell">
    <xdr:from>
      <xdr:col>0</xdr:col>
      <xdr:colOff>0</xdr:colOff>
      <xdr:row>0</xdr:row>
      <xdr:rowOff>0</xdr:rowOff>
    </xdr:from>
    <xdr:to>
      <xdr:col>0</xdr:col>
      <xdr:colOff>2105660</xdr:colOff>
      <xdr:row>5</xdr:row>
      <xdr:rowOff>65856</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110740" cy="992956"/>
        </a:xfrm>
        <a:prstGeom prst="rect">
          <a:avLst/>
        </a:prstGeom>
      </xdr:spPr>
    </xdr:pic>
    <xdr:clientData/>
  </xdr:twoCellAnchor>
  <xdr:twoCellAnchor editAs="oneCell">
    <xdr:from>
      <xdr:col>0</xdr:col>
      <xdr:colOff>297181</xdr:colOff>
      <xdr:row>71</xdr:row>
      <xdr:rowOff>128850</xdr:rowOff>
    </xdr:from>
    <xdr:to>
      <xdr:col>2</xdr:col>
      <xdr:colOff>1114071</xdr:colOff>
      <xdr:row>91</xdr:row>
      <xdr:rowOff>105990</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7181" y="2788923"/>
          <a:ext cx="5014817" cy="3302231"/>
        </a:xfrm>
        <a:prstGeom prst="rect">
          <a:avLst/>
        </a:prstGeom>
      </xdr:spPr>
    </xdr:pic>
    <xdr:clientData/>
  </xdr:twoCellAnchor>
  <xdr:twoCellAnchor>
    <xdr:from>
      <xdr:col>1</xdr:col>
      <xdr:colOff>740063</xdr:colOff>
      <xdr:row>75</xdr:row>
      <xdr:rowOff>160692</xdr:rowOff>
    </xdr:from>
    <xdr:to>
      <xdr:col>2</xdr:col>
      <xdr:colOff>826423</xdr:colOff>
      <xdr:row>77</xdr:row>
      <xdr:rowOff>145452</xdr:rowOff>
    </xdr:to>
    <xdr:sp macro="" textlink="">
      <xdr:nvSpPr>
        <xdr:cNvPr id="4" name="TextBox 3"/>
        <xdr:cNvSpPr txBox="1"/>
      </xdr:nvSpPr>
      <xdr:spPr>
        <a:xfrm>
          <a:off x="2402608" y="3485783"/>
          <a:ext cx="1499524" cy="3172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SIZING IN LANDSCAPE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abSelected="1" view="pageBreakPreview" zoomScaleNormal="85" zoomScaleSheetLayoutView="100" workbookViewId="0">
      <selection activeCell="K72" sqref="K72"/>
    </sheetView>
  </sheetViews>
  <sheetFormatPr defaultColWidth="9.140625" defaultRowHeight="12.75"/>
  <cols>
    <col min="1" max="1" width="38.140625" style="68" customWidth="1"/>
    <col min="2" max="2" width="23.28515625" style="68" customWidth="1"/>
    <col min="3" max="3" width="18.5703125" style="68" customWidth="1"/>
    <col min="4" max="4" width="15.85546875" style="68" customWidth="1"/>
    <col min="5" max="5" width="27.140625" style="68" bestFit="1" customWidth="1"/>
    <col min="6" max="6" width="21.42578125" style="68" bestFit="1" customWidth="1"/>
    <col min="7" max="7" width="19.28515625" style="68" customWidth="1"/>
    <col min="8" max="9" width="11.7109375" style="68" bestFit="1" customWidth="1"/>
    <col min="10" max="256" width="33.5703125" style="68" customWidth="1"/>
    <col min="257" max="16384" width="9.140625" style="68"/>
  </cols>
  <sheetData>
    <row r="1" spans="1:12" s="67" customFormat="1" ht="20.25">
      <c r="B1" s="119" t="s">
        <v>68</v>
      </c>
      <c r="C1" s="119" t="s">
        <v>69</v>
      </c>
    </row>
    <row r="3" spans="1:12">
      <c r="C3" s="122" t="s">
        <v>70</v>
      </c>
    </row>
    <row r="4" spans="1:12" ht="13.15" customHeight="1">
      <c r="C4" s="127" t="s">
        <v>98</v>
      </c>
      <c r="D4" s="127"/>
      <c r="E4" s="127"/>
      <c r="F4" s="127"/>
    </row>
    <row r="5" spans="1:12" ht="13.15" customHeight="1">
      <c r="C5" s="127"/>
      <c r="D5" s="127"/>
      <c r="E5" s="127"/>
      <c r="F5" s="127"/>
    </row>
    <row r="6" spans="1:12">
      <c r="C6" s="127"/>
      <c r="D6" s="127"/>
      <c r="E6" s="127"/>
      <c r="F6" s="127"/>
    </row>
    <row r="7" spans="1:12" ht="14.45" customHeight="1">
      <c r="C7" s="127"/>
      <c r="D7" s="127"/>
      <c r="E7" s="127"/>
      <c r="F7" s="127"/>
    </row>
    <row r="8" spans="1:12" ht="19.899999999999999" customHeight="1">
      <c r="C8" s="122" t="s">
        <v>99</v>
      </c>
    </row>
    <row r="9" spans="1:12" ht="30.6" customHeight="1">
      <c r="C9" s="128" t="s">
        <v>101</v>
      </c>
      <c r="D9" s="128"/>
      <c r="E9" s="128"/>
      <c r="F9" s="128"/>
      <c r="G9" s="128"/>
    </row>
    <row r="10" spans="1:12">
      <c r="C10" s="121" t="s">
        <v>100</v>
      </c>
      <c r="D10" s="67"/>
      <c r="E10" s="67"/>
      <c r="F10" s="67"/>
    </row>
    <row r="11" spans="1:12">
      <c r="C11" s="120" t="s">
        <v>102</v>
      </c>
    </row>
    <row r="12" spans="1:12">
      <c r="C12" s="120" t="s">
        <v>103</v>
      </c>
    </row>
    <row r="13" spans="1:12">
      <c r="C13" s="43"/>
    </row>
    <row r="14" spans="1:12">
      <c r="C14" s="69"/>
      <c r="D14" s="70" t="s">
        <v>65</v>
      </c>
      <c r="E14" s="70"/>
    </row>
    <row r="15" spans="1:12">
      <c r="C15" s="5"/>
      <c r="D15" s="71" t="s">
        <v>4</v>
      </c>
      <c r="E15" s="42"/>
    </row>
    <row r="16" spans="1:12">
      <c r="A16" s="41" t="s">
        <v>95</v>
      </c>
      <c r="B16" s="72" t="s">
        <v>0</v>
      </c>
      <c r="C16" s="72" t="s">
        <v>26</v>
      </c>
      <c r="D16" s="72" t="s">
        <v>2</v>
      </c>
      <c r="E16" s="72" t="s">
        <v>3</v>
      </c>
      <c r="G16" s="72"/>
      <c r="H16" s="5"/>
      <c r="I16" s="5"/>
      <c r="J16" s="5"/>
      <c r="K16" s="5"/>
      <c r="L16" s="5"/>
    </row>
    <row r="17" spans="1:12">
      <c r="A17" s="5" t="s">
        <v>96</v>
      </c>
      <c r="B17" s="80"/>
      <c r="C17" s="80"/>
      <c r="D17" s="80"/>
      <c r="E17" s="80"/>
      <c r="G17" s="72"/>
      <c r="H17" s="5"/>
      <c r="I17" s="5"/>
      <c r="J17" s="5"/>
      <c r="K17" s="5"/>
      <c r="L17" s="5"/>
    </row>
    <row r="18" spans="1:12" s="41" customFormat="1">
      <c r="A18" s="68" t="s">
        <v>97</v>
      </c>
      <c r="B18" s="80">
        <f>B17/25.4</f>
        <v>0</v>
      </c>
      <c r="C18" s="80">
        <f t="shared" ref="C18" si="0">C17/25.4</f>
        <v>0</v>
      </c>
      <c r="D18" s="80">
        <f>D17/25.4</f>
        <v>0</v>
      </c>
      <c r="E18" s="80">
        <f>E17/25.4</f>
        <v>0</v>
      </c>
      <c r="G18" s="72"/>
      <c r="H18" s="6"/>
      <c r="I18" s="6"/>
      <c r="J18" s="6"/>
      <c r="K18" s="6"/>
      <c r="L18" s="6"/>
    </row>
    <row r="19" spans="1:12" ht="25.5">
      <c r="A19" s="6" t="s">
        <v>66</v>
      </c>
      <c r="D19" s="5"/>
      <c r="E19" s="5"/>
      <c r="F19" s="5"/>
      <c r="G19" s="5" t="s">
        <v>109</v>
      </c>
      <c r="H19" s="5"/>
      <c r="I19" s="5"/>
      <c r="J19" s="5"/>
      <c r="K19" s="5"/>
      <c r="L19" s="5"/>
    </row>
    <row r="20" spans="1:12">
      <c r="A20" s="73" t="s">
        <v>94</v>
      </c>
      <c r="B20" s="74" t="s">
        <v>67</v>
      </c>
      <c r="C20" s="75">
        <f>(B18/12)*(C18/12)</f>
        <v>0</v>
      </c>
      <c r="D20" s="5"/>
      <c r="E20" s="5"/>
      <c r="G20" s="5">
        <f>(21.1/12)*(47.4/12)</f>
        <v>6.9454166666666666</v>
      </c>
      <c r="H20" s="5"/>
      <c r="I20" s="5"/>
      <c r="J20" s="5"/>
      <c r="K20" s="5"/>
      <c r="L20" s="5"/>
    </row>
    <row r="21" spans="1:12" hidden="1">
      <c r="A21" s="72" t="s">
        <v>5</v>
      </c>
      <c r="B21" s="72" t="s">
        <v>6</v>
      </c>
      <c r="C21" s="72" t="s">
        <v>7</v>
      </c>
      <c r="D21" s="72" t="s">
        <v>8</v>
      </c>
      <c r="E21" s="72" t="s">
        <v>9</v>
      </c>
      <c r="F21" s="72" t="s">
        <v>10</v>
      </c>
      <c r="G21" s="72" t="s">
        <v>11</v>
      </c>
      <c r="H21" s="72" t="s">
        <v>12</v>
      </c>
      <c r="I21" s="72" t="s">
        <v>13</v>
      </c>
      <c r="J21" s="72" t="s">
        <v>14</v>
      </c>
      <c r="K21" s="5"/>
      <c r="L21" s="5"/>
    </row>
    <row r="22" spans="1:12" hidden="1">
      <c r="A22" s="76" t="str">
        <f>HYPERLINK("http://www.2seas.com/prodFind.php?name=UNI-GR/01&amp;prodType=Mount","UNI-GR/01")</f>
        <v>UNI-GR/01</v>
      </c>
      <c r="B22" s="77">
        <v>25</v>
      </c>
      <c r="C22" s="78">
        <f t="shared" ref="C22:C29" si="1">INT((B22/($B$18+0.75)))</f>
        <v>33</v>
      </c>
      <c r="D22" s="77">
        <f t="shared" ref="D22:D29" si="2">B22-(C22*($B$18+0.75))</f>
        <v>0.25</v>
      </c>
      <c r="E22" s="77" t="str">
        <f t="shared" ref="E22:E29" si="3">IF((G22="Yes"),IF((D22&gt;10),"Yes","No"),"N/A")</f>
        <v>No</v>
      </c>
      <c r="F22" s="77" t="s">
        <v>15</v>
      </c>
      <c r="G22" s="78" t="str">
        <f t="shared" ref="G22:G29" si="4">IF(AND(IF((C22&gt;0),TRUE,FALSE),IF((C22&lt;&gt;C21),TRUE,FALSE)),"Yes","")</f>
        <v>Yes</v>
      </c>
      <c r="H22" s="77" t="str">
        <f t="shared" ref="H22:H29" si="5">IF((G22&lt;&gt;""),IF((($C$20*C22)&gt;I22),"No","Yes"),"")</f>
        <v>Yes</v>
      </c>
      <c r="I22" s="77">
        <f>$G$20*J22</f>
        <v>6.9454166666666666</v>
      </c>
      <c r="J22" s="77">
        <v>1</v>
      </c>
      <c r="K22" s="5"/>
      <c r="L22" s="5"/>
    </row>
    <row r="23" spans="1:12" hidden="1">
      <c r="A23" s="76" t="str">
        <f>HYPERLINK("http://www.2seas.com/prodFind.php?name=UNI-GR/01A&amp;prodType=Mount","UNI-GR/01A")</f>
        <v>UNI-GR/01A</v>
      </c>
      <c r="B23" s="77">
        <v>27</v>
      </c>
      <c r="C23" s="78">
        <f t="shared" si="1"/>
        <v>36</v>
      </c>
      <c r="D23" s="77">
        <f t="shared" si="2"/>
        <v>0</v>
      </c>
      <c r="E23" s="77" t="str">
        <f t="shared" si="3"/>
        <v>No</v>
      </c>
      <c r="F23" s="77" t="s">
        <v>15</v>
      </c>
      <c r="G23" s="78" t="str">
        <f t="shared" si="4"/>
        <v>Yes</v>
      </c>
      <c r="H23" s="77" t="str">
        <f t="shared" si="5"/>
        <v>Yes</v>
      </c>
      <c r="I23" s="77">
        <f t="shared" ref="I23:I29" si="6">$G$20*J23</f>
        <v>6.9454166666666666</v>
      </c>
      <c r="J23" s="77">
        <v>1</v>
      </c>
      <c r="K23" s="5"/>
      <c r="L23" s="5"/>
    </row>
    <row r="24" spans="1:12" hidden="1">
      <c r="A24" s="76" t="str">
        <f>HYPERLINK("http://www.2seas.com/prodFind.php?name=UNI-GR/02&amp;prodType=Mount","UNI-GR/02")</f>
        <v>UNI-GR/02</v>
      </c>
      <c r="B24" s="77">
        <v>45</v>
      </c>
      <c r="C24" s="78">
        <f t="shared" si="1"/>
        <v>60</v>
      </c>
      <c r="D24" s="77">
        <f t="shared" si="2"/>
        <v>0</v>
      </c>
      <c r="E24" s="77" t="str">
        <f t="shared" si="3"/>
        <v>No</v>
      </c>
      <c r="F24" s="77" t="s">
        <v>15</v>
      </c>
      <c r="G24" s="78" t="str">
        <f t="shared" si="4"/>
        <v>Yes</v>
      </c>
      <c r="H24" s="77" t="str">
        <f t="shared" si="5"/>
        <v>Yes</v>
      </c>
      <c r="I24" s="77">
        <f t="shared" si="6"/>
        <v>13.890833333333333</v>
      </c>
      <c r="J24" s="77">
        <v>2</v>
      </c>
      <c r="K24" s="5"/>
      <c r="L24" s="5"/>
    </row>
    <row r="25" spans="1:12" hidden="1">
      <c r="A25" s="76" t="str">
        <f>HYPERLINK("http://www.2seas.com/prodFind.php?name=UNI-GR/02A&amp;prodType=Mount","UNI-GR/02A")</f>
        <v>UNI-GR/02A</v>
      </c>
      <c r="B25" s="77">
        <v>55</v>
      </c>
      <c r="C25" s="78">
        <f t="shared" si="1"/>
        <v>73</v>
      </c>
      <c r="D25" s="77">
        <f t="shared" si="2"/>
        <v>0.25</v>
      </c>
      <c r="E25" s="77" t="str">
        <f t="shared" si="3"/>
        <v>No</v>
      </c>
      <c r="F25" s="77" t="s">
        <v>15</v>
      </c>
      <c r="G25" s="78" t="str">
        <f t="shared" si="4"/>
        <v>Yes</v>
      </c>
      <c r="H25" s="77" t="str">
        <f t="shared" si="5"/>
        <v>Yes</v>
      </c>
      <c r="I25" s="77">
        <f t="shared" si="6"/>
        <v>13.890833333333333</v>
      </c>
      <c r="J25" s="77">
        <v>2</v>
      </c>
      <c r="K25" s="5"/>
      <c r="L25" s="5"/>
    </row>
    <row r="26" spans="1:12" hidden="1">
      <c r="A26" s="76" t="str">
        <f>HYPERLINK("http://www.2seas.com/prodFind.php?name=UNI-GR/03&amp;prodType=Mount","UNI-GR/03")</f>
        <v>UNI-GR/03</v>
      </c>
      <c r="B26" s="77">
        <v>70</v>
      </c>
      <c r="C26" s="78">
        <f t="shared" si="1"/>
        <v>93</v>
      </c>
      <c r="D26" s="77">
        <f t="shared" si="2"/>
        <v>0.25</v>
      </c>
      <c r="E26" s="77" t="str">
        <f t="shared" si="3"/>
        <v>No</v>
      </c>
      <c r="F26" s="77" t="s">
        <v>15</v>
      </c>
      <c r="G26" s="78" t="str">
        <f t="shared" si="4"/>
        <v>Yes</v>
      </c>
      <c r="H26" s="77" t="str">
        <f t="shared" si="5"/>
        <v>Yes</v>
      </c>
      <c r="I26" s="77">
        <f t="shared" si="6"/>
        <v>20.83625</v>
      </c>
      <c r="J26" s="77">
        <v>3</v>
      </c>
      <c r="K26" s="5"/>
      <c r="L26" s="5"/>
    </row>
    <row r="27" spans="1:12" hidden="1">
      <c r="A27" s="76" t="str">
        <f>HYPERLINK("http://www.2seas.com/prodFind.php?name=UNI-GR/04&amp;prodType=Mount","UNI-GR/04")</f>
        <v>UNI-GR/04</v>
      </c>
      <c r="B27" s="77">
        <v>90</v>
      </c>
      <c r="C27" s="78">
        <f t="shared" si="1"/>
        <v>120</v>
      </c>
      <c r="D27" s="77">
        <f t="shared" si="2"/>
        <v>0</v>
      </c>
      <c r="E27" s="77" t="str">
        <f t="shared" si="3"/>
        <v>No</v>
      </c>
      <c r="F27" s="77" t="s">
        <v>15</v>
      </c>
      <c r="G27" s="78" t="str">
        <f t="shared" si="4"/>
        <v>Yes</v>
      </c>
      <c r="H27" s="77" t="str">
        <f t="shared" si="5"/>
        <v>Yes</v>
      </c>
      <c r="I27" s="77">
        <f t="shared" si="6"/>
        <v>27.781666666666666</v>
      </c>
      <c r="J27" s="77">
        <v>4</v>
      </c>
      <c r="K27" s="5"/>
      <c r="L27" s="5"/>
    </row>
    <row r="28" spans="1:12" hidden="1">
      <c r="A28" s="76" t="str">
        <f>HYPERLINK("http://www.2seas.com/prodFind.php?name=UNI-GR/04A&amp;prodType=Mount","UNI-GR/04A")</f>
        <v>UNI-GR/04A</v>
      </c>
      <c r="B28" s="77">
        <v>110</v>
      </c>
      <c r="C28" s="78">
        <f t="shared" si="1"/>
        <v>146</v>
      </c>
      <c r="D28" s="77">
        <f t="shared" si="2"/>
        <v>0.5</v>
      </c>
      <c r="E28" s="77" t="str">
        <f t="shared" si="3"/>
        <v>No</v>
      </c>
      <c r="F28" s="77" t="s">
        <v>15</v>
      </c>
      <c r="G28" s="78" t="str">
        <f t="shared" si="4"/>
        <v>Yes</v>
      </c>
      <c r="H28" s="77" t="str">
        <f t="shared" si="5"/>
        <v>Yes</v>
      </c>
      <c r="I28" s="77">
        <f t="shared" si="6"/>
        <v>27.781666666666666</v>
      </c>
      <c r="J28" s="77">
        <v>4</v>
      </c>
      <c r="K28" s="5"/>
      <c r="L28" s="5"/>
    </row>
    <row r="29" spans="1:12" hidden="1">
      <c r="A29" s="76" t="str">
        <f>HYPERLINK("http://www.2seas.com/prodFind.php?name=UNI-GR/05&amp;prodType=Mount","UNI-GR/05")</f>
        <v>UNI-GR/05</v>
      </c>
      <c r="B29" s="77">
        <v>115</v>
      </c>
      <c r="C29" s="78">
        <f t="shared" si="1"/>
        <v>153</v>
      </c>
      <c r="D29" s="77">
        <f t="shared" si="2"/>
        <v>0.25</v>
      </c>
      <c r="E29" s="77" t="str">
        <f t="shared" si="3"/>
        <v>No</v>
      </c>
      <c r="F29" s="77" t="s">
        <v>15</v>
      </c>
      <c r="G29" s="78" t="str">
        <f t="shared" si="4"/>
        <v>Yes</v>
      </c>
      <c r="H29" s="77" t="str">
        <f t="shared" si="5"/>
        <v>Yes</v>
      </c>
      <c r="I29" s="77">
        <f t="shared" si="6"/>
        <v>34.727083333333333</v>
      </c>
      <c r="J29" s="77">
        <v>5</v>
      </c>
      <c r="K29" s="5"/>
      <c r="L29" s="5"/>
    </row>
    <row r="30" spans="1:12" hidden="1">
      <c r="A30" s="5"/>
      <c r="B30" s="5"/>
      <c r="C30" s="5"/>
      <c r="D30" s="5"/>
      <c r="E30" s="5"/>
      <c r="F30" s="5"/>
      <c r="G30" s="5"/>
      <c r="H30" s="77" t="str">
        <f>IF((G30&lt;&gt;""),IF((($C$20*C30)&gt;I29),"No","Yes"),"")</f>
        <v/>
      </c>
      <c r="I30" s="5"/>
      <c r="J30" s="5"/>
      <c r="K30" s="5"/>
      <c r="L30" s="5"/>
    </row>
    <row r="31" spans="1:12" hidden="1">
      <c r="A31" s="5"/>
      <c r="B31" s="5"/>
      <c r="C31" s="5"/>
      <c r="D31" s="5"/>
      <c r="E31" s="5"/>
      <c r="F31" s="5"/>
      <c r="G31" s="5"/>
      <c r="H31" s="77" t="str">
        <f>IF((G31&lt;&gt;""),IF((($C$20*C31)&gt;I30),"No","Yes"),"")</f>
        <v/>
      </c>
      <c r="I31" s="5"/>
      <c r="J31" s="5"/>
      <c r="K31" s="5"/>
      <c r="L31" s="5"/>
    </row>
    <row r="32" spans="1:12" hidden="1">
      <c r="A32" s="76" t="str">
        <f>HYPERLINK("http://www.2seas.com/prodFind.php?name=UNI-GR/04H&amp;prodType=Mount","UNI-GR/04H")</f>
        <v>UNI-GR/04H</v>
      </c>
      <c r="B32" s="77">
        <v>90</v>
      </c>
      <c r="C32" s="78">
        <f t="shared" ref="C32:C39" si="7">INT((B32/($B$18+0.75)))</f>
        <v>120</v>
      </c>
      <c r="D32" s="77">
        <f t="shared" ref="D32:D39" si="8">B32-(C32*($B$18+0.75))</f>
        <v>0</v>
      </c>
      <c r="E32" s="77" t="str">
        <f t="shared" ref="E32:E39" si="9">IF((G32="Yes"),IF((D32&gt;10),"Yes","No"),"N/A")</f>
        <v>No</v>
      </c>
      <c r="F32" s="77" t="s">
        <v>16</v>
      </c>
      <c r="G32" s="78" t="str">
        <f t="shared" ref="G32:G39" si="10">IF(AND(IF((C32&gt;0),TRUE,FALSE),IF((C32&lt;&gt;C31),TRUE,FALSE)),"Yes","")</f>
        <v>Yes</v>
      </c>
      <c r="H32" s="77" t="str">
        <f t="shared" ref="H32:H39" si="11">IF((G32&lt;&gt;""),IF((($C$20*C32)&gt;I32),"No","Yes"),"")</f>
        <v>Yes</v>
      </c>
      <c r="I32" s="77">
        <f t="shared" ref="I32:I39" si="12">$G$20*J32</f>
        <v>27.781666666666666</v>
      </c>
      <c r="J32" s="77">
        <v>4</v>
      </c>
      <c r="K32" s="5"/>
      <c r="L32" s="5"/>
    </row>
    <row r="33" spans="1:12" hidden="1">
      <c r="A33" s="76" t="str">
        <f>HYPERLINK("http://www.2seas.com/prodFind.php?name=UNI-GR/04AH&amp;prodType=Mount","UNI-GR/04AH")</f>
        <v>UNI-GR/04AH</v>
      </c>
      <c r="B33" s="77">
        <v>110</v>
      </c>
      <c r="C33" s="78">
        <f t="shared" si="7"/>
        <v>146</v>
      </c>
      <c r="D33" s="77">
        <f t="shared" si="8"/>
        <v>0.5</v>
      </c>
      <c r="E33" s="77" t="str">
        <f t="shared" si="9"/>
        <v>No</v>
      </c>
      <c r="F33" s="77" t="s">
        <v>16</v>
      </c>
      <c r="G33" s="78" t="str">
        <f t="shared" si="10"/>
        <v>Yes</v>
      </c>
      <c r="H33" s="77" t="str">
        <f t="shared" si="11"/>
        <v>Yes</v>
      </c>
      <c r="I33" s="77">
        <f t="shared" si="12"/>
        <v>27.781666666666666</v>
      </c>
      <c r="J33" s="77">
        <v>4</v>
      </c>
      <c r="K33" s="5"/>
      <c r="L33" s="5"/>
    </row>
    <row r="34" spans="1:12" hidden="1">
      <c r="A34" s="76" t="str">
        <f>HYPERLINK("http://www.2seas.com/prodFind.php?name=UNI-GR/06H&amp;prodType=Mount","UNI-GR/06H")</f>
        <v>UNI-GR/06H</v>
      </c>
      <c r="B34" s="77">
        <v>140</v>
      </c>
      <c r="C34" s="78">
        <f t="shared" si="7"/>
        <v>186</v>
      </c>
      <c r="D34" s="77">
        <f t="shared" si="8"/>
        <v>0.5</v>
      </c>
      <c r="E34" s="77" t="str">
        <f t="shared" si="9"/>
        <v>No</v>
      </c>
      <c r="F34" s="77" t="s">
        <v>16</v>
      </c>
      <c r="G34" s="78" t="str">
        <f t="shared" si="10"/>
        <v>Yes</v>
      </c>
      <c r="H34" s="77" t="str">
        <f t="shared" si="11"/>
        <v>Yes</v>
      </c>
      <c r="I34" s="77">
        <f t="shared" si="12"/>
        <v>41.672499999999999</v>
      </c>
      <c r="J34" s="77">
        <v>6</v>
      </c>
      <c r="K34" s="5"/>
      <c r="L34" s="5"/>
    </row>
    <row r="35" spans="1:12" hidden="1">
      <c r="A35" s="76" t="str">
        <f>HYPERLINK("http://www.2seas.com/prodFind.php?name=UNI-GR/06AH&amp;prodType=Mount","UNI-GR/06AH")</f>
        <v>UNI-GR/06AH</v>
      </c>
      <c r="B35" s="77">
        <v>160</v>
      </c>
      <c r="C35" s="78">
        <f t="shared" si="7"/>
        <v>213</v>
      </c>
      <c r="D35" s="77">
        <f t="shared" si="8"/>
        <v>0.25</v>
      </c>
      <c r="E35" s="77" t="str">
        <f t="shared" si="9"/>
        <v>No</v>
      </c>
      <c r="F35" s="77" t="s">
        <v>16</v>
      </c>
      <c r="G35" s="78" t="str">
        <f t="shared" si="10"/>
        <v>Yes</v>
      </c>
      <c r="H35" s="77" t="str">
        <f t="shared" si="11"/>
        <v>Yes</v>
      </c>
      <c r="I35" s="77">
        <f t="shared" si="12"/>
        <v>41.672499999999999</v>
      </c>
      <c r="J35" s="77">
        <v>6</v>
      </c>
      <c r="K35" s="5"/>
      <c r="L35" s="5"/>
    </row>
    <row r="36" spans="1:12" hidden="1">
      <c r="A36" s="76" t="str">
        <f>HYPERLINK("http://www.2seas.com/prodFind.php?name=UNI-GR/08H&amp;prodType=Mount","UNI-GR/08H")</f>
        <v>UNI-GR/08H</v>
      </c>
      <c r="B36" s="77">
        <v>180</v>
      </c>
      <c r="C36" s="78">
        <f t="shared" si="7"/>
        <v>240</v>
      </c>
      <c r="D36" s="77">
        <f t="shared" si="8"/>
        <v>0</v>
      </c>
      <c r="E36" s="77" t="str">
        <f t="shared" si="9"/>
        <v>No</v>
      </c>
      <c r="F36" s="77" t="s">
        <v>16</v>
      </c>
      <c r="G36" s="78" t="str">
        <f t="shared" si="10"/>
        <v>Yes</v>
      </c>
      <c r="H36" s="77" t="str">
        <f t="shared" si="11"/>
        <v>Yes</v>
      </c>
      <c r="I36" s="77">
        <f t="shared" si="12"/>
        <v>55.563333333333333</v>
      </c>
      <c r="J36" s="77">
        <v>8</v>
      </c>
      <c r="K36" s="5"/>
      <c r="L36" s="5"/>
    </row>
    <row r="37" spans="1:12" hidden="1">
      <c r="A37" s="76" t="str">
        <f>HYPERLINK("http://www.2seas.com/prodFind.php?name=UNI-GR/10H&amp;prodType=Mount","UNI-GR/10H")</f>
        <v>UNI-GR/10H</v>
      </c>
      <c r="B37" s="77">
        <v>225</v>
      </c>
      <c r="C37" s="78">
        <f t="shared" si="7"/>
        <v>300</v>
      </c>
      <c r="D37" s="77">
        <f t="shared" si="8"/>
        <v>0</v>
      </c>
      <c r="E37" s="77" t="str">
        <f t="shared" si="9"/>
        <v>No</v>
      </c>
      <c r="F37" s="77" t="s">
        <v>16</v>
      </c>
      <c r="G37" s="78" t="str">
        <f t="shared" si="10"/>
        <v>Yes</v>
      </c>
      <c r="H37" s="77" t="str">
        <f t="shared" si="11"/>
        <v>Yes</v>
      </c>
      <c r="I37" s="77">
        <f t="shared" si="12"/>
        <v>69.454166666666666</v>
      </c>
      <c r="J37" s="77">
        <v>10</v>
      </c>
      <c r="K37" s="5"/>
      <c r="L37" s="5"/>
    </row>
    <row r="38" spans="1:12" hidden="1">
      <c r="A38" s="76" t="str">
        <f>HYPERLINK("http://www.2seas.com/prodFind.php?name=UNI-GR/12H&amp;prodType=Mount","UNI-GR/12H")</f>
        <v>UNI-GR/12H</v>
      </c>
      <c r="B38" s="77">
        <v>270</v>
      </c>
      <c r="C38" s="78">
        <f t="shared" si="7"/>
        <v>360</v>
      </c>
      <c r="D38" s="77">
        <f t="shared" si="8"/>
        <v>0</v>
      </c>
      <c r="E38" s="77" t="str">
        <f t="shared" si="9"/>
        <v>No</v>
      </c>
      <c r="F38" s="77" t="s">
        <v>16</v>
      </c>
      <c r="G38" s="78" t="str">
        <f t="shared" si="10"/>
        <v>Yes</v>
      </c>
      <c r="H38" s="77" t="str">
        <f t="shared" si="11"/>
        <v>Yes</v>
      </c>
      <c r="I38" s="77">
        <f t="shared" si="12"/>
        <v>83.344999999999999</v>
      </c>
      <c r="J38" s="77">
        <v>12</v>
      </c>
      <c r="K38" s="5"/>
      <c r="L38" s="5"/>
    </row>
    <row r="39" spans="1:12" hidden="1">
      <c r="A39" s="76" t="str">
        <f>HYPERLINK("http://www.2seas.com/prodFind.php?name=UNI-GR/14H&amp;prodType=Mount","UNI-GR/14H ")</f>
        <v xml:space="preserve">UNI-GR/14H </v>
      </c>
      <c r="B39" s="77">
        <v>325</v>
      </c>
      <c r="C39" s="78">
        <f t="shared" si="7"/>
        <v>433</v>
      </c>
      <c r="D39" s="77">
        <f t="shared" si="8"/>
        <v>0.25</v>
      </c>
      <c r="E39" s="77" t="str">
        <f t="shared" si="9"/>
        <v>No</v>
      </c>
      <c r="F39" s="77" t="s">
        <v>16</v>
      </c>
      <c r="G39" s="78" t="str">
        <f t="shared" si="10"/>
        <v>Yes</v>
      </c>
      <c r="H39" s="77" t="str">
        <f t="shared" si="11"/>
        <v>Yes</v>
      </c>
      <c r="I39" s="77">
        <f t="shared" si="12"/>
        <v>97.235833333333332</v>
      </c>
      <c r="J39" s="77">
        <v>14</v>
      </c>
      <c r="K39" s="5"/>
      <c r="L39" s="5"/>
    </row>
    <row r="40" spans="1:12" hidden="1">
      <c r="A40" s="5"/>
      <c r="B40" s="5"/>
      <c r="C40" s="5"/>
      <c r="D40" s="5"/>
      <c r="E40" s="5"/>
      <c r="F40" s="5"/>
      <c r="G40" s="5"/>
      <c r="H40" s="5"/>
      <c r="I40" s="5"/>
      <c r="J40" s="5"/>
      <c r="K40" s="5"/>
      <c r="L40" s="5"/>
    </row>
    <row r="41" spans="1:12" hidden="1">
      <c r="A41" s="5"/>
      <c r="B41" s="5"/>
      <c r="C41" s="5"/>
      <c r="D41" s="5"/>
      <c r="E41" s="5"/>
      <c r="F41" s="5"/>
      <c r="G41" s="5"/>
      <c r="H41" s="5"/>
      <c r="I41" s="5"/>
      <c r="J41" s="5"/>
      <c r="K41" s="5"/>
      <c r="L41" s="5"/>
    </row>
    <row r="42" spans="1:12" hidden="1">
      <c r="A42" s="72" t="s">
        <v>17</v>
      </c>
      <c r="B42" s="72" t="s">
        <v>6</v>
      </c>
      <c r="C42" s="72" t="s">
        <v>18</v>
      </c>
      <c r="D42" s="72" t="s">
        <v>19</v>
      </c>
      <c r="E42" s="72" t="s">
        <v>20</v>
      </c>
      <c r="F42" s="72" t="s">
        <v>7</v>
      </c>
      <c r="G42" s="72" t="s">
        <v>8</v>
      </c>
      <c r="H42" s="72" t="s">
        <v>11</v>
      </c>
      <c r="I42" s="72" t="s">
        <v>12</v>
      </c>
      <c r="J42" s="72" t="s">
        <v>13</v>
      </c>
      <c r="K42" s="72" t="s">
        <v>14</v>
      </c>
      <c r="L42" s="5"/>
    </row>
    <row r="43" spans="1:12" hidden="1">
      <c r="A43" s="76" t="str">
        <f>HYPERLINK("http://www.2seas.com/prodFind.php?name=UNI-TP/02&amp;prodType=Mount","UNI-TP/02")</f>
        <v>UNI-TP/02</v>
      </c>
      <c r="B43" s="77">
        <v>45</v>
      </c>
      <c r="C43" s="77">
        <v>38</v>
      </c>
      <c r="D43" s="77">
        <v>1</v>
      </c>
      <c r="E43" s="77" t="str">
        <f>IF($D$18&gt;38.4,"TRUE","FALSE")</f>
        <v>FALSE</v>
      </c>
      <c r="F43" s="78">
        <f>IF(E43,0,(INT((B43/($B$18+0.75)))*D43))</f>
        <v>60</v>
      </c>
      <c r="G43" s="77">
        <f>(B43*D43)-(F43*($B$18+0.75))</f>
        <v>0</v>
      </c>
      <c r="H43" s="78" t="str">
        <f>IF((F43&lt;&gt;F42),IF(E43,"","Yes"),"")</f>
        <v>Yes</v>
      </c>
      <c r="I43" s="77" t="str">
        <f t="shared" ref="I43:I57" si="13">IF((H43&lt;&gt;""),IF((($C$20*F43)&gt;J43),"No","Yes"),"")</f>
        <v>Yes</v>
      </c>
      <c r="J43" s="77">
        <f>$G$20*K43</f>
        <v>13.890833333333333</v>
      </c>
      <c r="K43" s="77">
        <v>2</v>
      </c>
      <c r="L43" s="5"/>
    </row>
    <row r="44" spans="1:12" hidden="1">
      <c r="A44" s="76" t="str">
        <f>HYPERLINK("http://www.2seas.com/prodFind.php?name=UNI-TP/02A&amp;prodType=Mount","UNI-TP/02A")</f>
        <v>UNI-TP/02A</v>
      </c>
      <c r="B44" s="77">
        <v>55</v>
      </c>
      <c r="C44" s="77">
        <v>38</v>
      </c>
      <c r="D44" s="77">
        <v>1</v>
      </c>
      <c r="E44" s="77" t="str">
        <f>IF($D$18&gt;38.4,"TRUE","FALSE")</f>
        <v>FALSE</v>
      </c>
      <c r="F44" s="78">
        <f>IF(E44,0,(INT((B44/($B$18+0.75)))*D44))</f>
        <v>73</v>
      </c>
      <c r="G44" s="77">
        <f>(B44*D44)-(F44*($B$18+0.75))</f>
        <v>0.25</v>
      </c>
      <c r="H44" s="78" t="str">
        <f>IF((F44&lt;&gt;F43),IF(E44,"","Yes"),"")</f>
        <v>Yes</v>
      </c>
      <c r="I44" s="77" t="str">
        <f t="shared" si="13"/>
        <v>Yes</v>
      </c>
      <c r="J44" s="77">
        <f t="shared" ref="J44:J47" si="14">$G$20*K44</f>
        <v>13.890833333333333</v>
      </c>
      <c r="K44" s="77">
        <v>2</v>
      </c>
      <c r="L44" s="5"/>
    </row>
    <row r="45" spans="1:12" hidden="1">
      <c r="A45" s="76" t="str">
        <f>HYPERLINK("http://www.2seas.com/prodFind.php?name=UNI-TP/03&amp;prodType=Mount","UNI-TP/03")</f>
        <v>UNI-TP/03</v>
      </c>
      <c r="B45" s="77">
        <v>70</v>
      </c>
      <c r="C45" s="77">
        <v>38</v>
      </c>
      <c r="D45" s="77">
        <v>1</v>
      </c>
      <c r="E45" s="77" t="str">
        <f>IF($D$18&gt;38.4,"TRUE","FALSE")</f>
        <v>FALSE</v>
      </c>
      <c r="F45" s="78">
        <f>IF(E45,0,(INT((B45/($B$18+0.75)))*D45))</f>
        <v>93</v>
      </c>
      <c r="G45" s="77">
        <f>(B45*D45)-(F45*($B$18+0.75))</f>
        <v>0.25</v>
      </c>
      <c r="H45" s="78" t="str">
        <f>IF((F45&lt;&gt;F44),IF(E45,"","Yes"),"")</f>
        <v>Yes</v>
      </c>
      <c r="I45" s="77" t="str">
        <f t="shared" si="13"/>
        <v>Yes</v>
      </c>
      <c r="J45" s="77">
        <f t="shared" si="14"/>
        <v>20.83625</v>
      </c>
      <c r="K45" s="77">
        <v>3</v>
      </c>
      <c r="L45" s="5"/>
    </row>
    <row r="46" spans="1:12" hidden="1">
      <c r="A46" s="76" t="str">
        <f>HYPERLINK("http://www.2seas.com/prodFind.php?name=UNI-TP/04&amp;prodType=Mount","UNI-TP/04")</f>
        <v>UNI-TP/04</v>
      </c>
      <c r="B46" s="77">
        <v>90</v>
      </c>
      <c r="C46" s="77">
        <v>38</v>
      </c>
      <c r="D46" s="77">
        <v>1</v>
      </c>
      <c r="E46" s="77" t="str">
        <f>IF($D$18&gt;38.4,"TRUE","FALSE")</f>
        <v>FALSE</v>
      </c>
      <c r="F46" s="78">
        <f>IF(E46,0,(INT((B46/($B$18+0.75)))*D46))</f>
        <v>120</v>
      </c>
      <c r="G46" s="77">
        <f>(B46*D46)-(F46*($B$18+0.75))</f>
        <v>0</v>
      </c>
      <c r="H46" s="78" t="str">
        <f>IF((F46&lt;&gt;F45),IF(E46,"","Yes"),"")</f>
        <v>Yes</v>
      </c>
      <c r="I46" s="77" t="str">
        <f t="shared" si="13"/>
        <v>Yes</v>
      </c>
      <c r="J46" s="77">
        <f t="shared" si="14"/>
        <v>27.781666666666666</v>
      </c>
      <c r="K46" s="77">
        <v>4</v>
      </c>
      <c r="L46" s="5"/>
    </row>
    <row r="47" spans="1:12" hidden="1">
      <c r="A47" s="76" t="str">
        <f>HYPERLINK("http://www.2seas.com/prodFind.php?name=UNI-TP/04A&amp;prodType=Mount","UNI-TP/04A")</f>
        <v>UNI-TP/04A</v>
      </c>
      <c r="B47" s="77">
        <v>110</v>
      </c>
      <c r="C47" s="77">
        <v>38</v>
      </c>
      <c r="D47" s="77">
        <v>1</v>
      </c>
      <c r="E47" s="77" t="str">
        <f>IF($D$18&gt;38.4,"TRUE","FALSE")</f>
        <v>FALSE</v>
      </c>
      <c r="F47" s="78">
        <f>IF(E47,0,(INT((B47/($B$18+0.75)))*D47))</f>
        <v>146</v>
      </c>
      <c r="G47" s="77">
        <f>(B47*D47)-(F47*($B$18+0.75))</f>
        <v>0.5</v>
      </c>
      <c r="H47" s="78" t="str">
        <f>IF((F47&lt;&gt;F46),IF(E47,"","Yes"),"")</f>
        <v>Yes</v>
      </c>
      <c r="I47" s="77" t="str">
        <f t="shared" si="13"/>
        <v>Yes</v>
      </c>
      <c r="J47" s="77">
        <f t="shared" si="14"/>
        <v>27.781666666666666</v>
      </c>
      <c r="K47" s="77">
        <v>4</v>
      </c>
      <c r="L47" s="5"/>
    </row>
    <row r="48" spans="1:12" hidden="1">
      <c r="A48" s="5"/>
      <c r="B48" s="5"/>
      <c r="C48" s="5"/>
      <c r="D48" s="5"/>
      <c r="E48" s="5"/>
      <c r="F48" s="5"/>
      <c r="G48" s="5"/>
      <c r="H48" s="5"/>
      <c r="I48" s="77" t="str">
        <f t="shared" si="13"/>
        <v/>
      </c>
      <c r="J48" s="5"/>
      <c r="K48" s="5"/>
      <c r="L48" s="5"/>
    </row>
    <row r="49" spans="1:12" hidden="1">
      <c r="A49" s="72" t="s">
        <v>21</v>
      </c>
      <c r="B49" s="5"/>
      <c r="C49" s="5"/>
      <c r="D49" s="5"/>
      <c r="E49" s="5"/>
      <c r="F49" s="5"/>
      <c r="G49" s="5"/>
      <c r="H49" s="5"/>
      <c r="I49" s="77" t="str">
        <f t="shared" si="13"/>
        <v/>
      </c>
      <c r="J49" s="5"/>
      <c r="K49" s="5"/>
      <c r="L49" s="5"/>
    </row>
    <row r="50" spans="1:12" hidden="1">
      <c r="A50" s="76"/>
      <c r="B50" s="77"/>
      <c r="C50" s="77"/>
      <c r="D50" s="77"/>
      <c r="E50" s="77"/>
      <c r="F50" s="78"/>
      <c r="G50" s="77"/>
      <c r="H50" s="78"/>
      <c r="I50" s="77"/>
      <c r="J50" s="77"/>
      <c r="K50" s="77">
        <v>6</v>
      </c>
      <c r="L50" s="5"/>
    </row>
    <row r="51" spans="1:12" hidden="1">
      <c r="A51" s="76" t="str">
        <f>HYPERLINK("http://www.2seas.com/prodFind.php?name=UNI-TP/06LL&amp;prodType=Mount","UNI-TP/06LL")</f>
        <v>UNI-TP/06LL</v>
      </c>
      <c r="B51" s="77">
        <v>70</v>
      </c>
      <c r="C51" s="77">
        <v>100.7</v>
      </c>
      <c r="D51" s="77">
        <v>2</v>
      </c>
      <c r="E51" s="77" t="b">
        <f t="shared" ref="E51:E57" si="15">IF((D51=1),FALSE,IF((($D$18+$E$18)&gt;((C51/2)-0.5)),TRUE,FALSE))</f>
        <v>0</v>
      </c>
      <c r="F51" s="78">
        <f t="shared" ref="F51:F57" si="16">IF(E51,0,(INT((B51/($B$18+0.75)))*D51))</f>
        <v>186</v>
      </c>
      <c r="G51" s="77">
        <f t="shared" ref="G51:G57" si="17">(B51*D51)-(F51*($B$18+0.75))</f>
        <v>0.5</v>
      </c>
      <c r="H51" s="78" t="str">
        <f t="shared" ref="H51:H57" si="18">IF((F51&lt;&gt;F50),IF((F51&lt;&gt;F49),IF(E51,"","Yes"),""),"")</f>
        <v>Yes</v>
      </c>
      <c r="I51" s="77" t="str">
        <f t="shared" si="13"/>
        <v>Yes</v>
      </c>
      <c r="J51" s="77">
        <f t="shared" ref="J51:J57" si="19">$G$20*K51</f>
        <v>41.672499999999999</v>
      </c>
      <c r="K51" s="77">
        <v>6</v>
      </c>
      <c r="L51" s="5"/>
    </row>
    <row r="52" spans="1:12" hidden="1">
      <c r="A52" s="76" t="str">
        <f>HYPERLINK("http://www.2seas.com/prodFind.php?name=UNI-TP/08&amp;prodType=Mount","UNI-TP/08")</f>
        <v>UNI-TP/08</v>
      </c>
      <c r="B52" s="77">
        <v>90</v>
      </c>
      <c r="C52" s="77">
        <v>75.900000000000006</v>
      </c>
      <c r="D52" s="77">
        <v>2</v>
      </c>
      <c r="E52" s="77" t="b">
        <f t="shared" si="15"/>
        <v>0</v>
      </c>
      <c r="F52" s="78">
        <f t="shared" si="16"/>
        <v>240</v>
      </c>
      <c r="G52" s="77">
        <f t="shared" si="17"/>
        <v>0</v>
      </c>
      <c r="H52" s="78" t="str">
        <f t="shared" si="18"/>
        <v>Yes</v>
      </c>
      <c r="I52" s="77" t="str">
        <f t="shared" si="13"/>
        <v>Yes</v>
      </c>
      <c r="J52" s="77">
        <f t="shared" si="19"/>
        <v>55.563333333333333</v>
      </c>
      <c r="K52" s="77">
        <v>8</v>
      </c>
      <c r="L52" s="5"/>
    </row>
    <row r="53" spans="1:12" hidden="1">
      <c r="A53" s="76" t="str">
        <f>HYPERLINK("http://www.2seas.com/prodFind.php?name=UNI-TP/08LL&amp;prodType=Mount","UNI-TP/08LL")</f>
        <v>UNI-TP/08LL</v>
      </c>
      <c r="B53" s="77">
        <v>90</v>
      </c>
      <c r="C53" s="77">
        <v>100.7</v>
      </c>
      <c r="D53" s="77">
        <v>2</v>
      </c>
      <c r="E53" s="77" t="b">
        <f t="shared" si="15"/>
        <v>0</v>
      </c>
      <c r="F53" s="78">
        <f t="shared" si="16"/>
        <v>240</v>
      </c>
      <c r="G53" s="77">
        <f t="shared" si="17"/>
        <v>0</v>
      </c>
      <c r="H53" s="78" t="str">
        <f t="shared" si="18"/>
        <v/>
      </c>
      <c r="I53" s="77" t="str">
        <f t="shared" si="13"/>
        <v/>
      </c>
      <c r="J53" s="77">
        <f t="shared" si="19"/>
        <v>55.563333333333333</v>
      </c>
      <c r="K53" s="77">
        <v>8</v>
      </c>
      <c r="L53" s="5"/>
    </row>
    <row r="54" spans="1:12" hidden="1">
      <c r="A54" s="76" t="str">
        <f>HYPERLINK("http://www.2seas.com/prodFind.php?name=UNI-TP/10&amp;prodType=Mount","UNI-TP/10")</f>
        <v>UNI-TP/10</v>
      </c>
      <c r="B54" s="77">
        <v>115</v>
      </c>
      <c r="C54" s="77">
        <v>75.900000000000006</v>
      </c>
      <c r="D54" s="77">
        <v>2</v>
      </c>
      <c r="E54" s="77" t="b">
        <f t="shared" si="15"/>
        <v>0</v>
      </c>
      <c r="F54" s="78">
        <f t="shared" si="16"/>
        <v>306</v>
      </c>
      <c r="G54" s="77">
        <f t="shared" si="17"/>
        <v>0.5</v>
      </c>
      <c r="H54" s="78" t="str">
        <f t="shared" si="18"/>
        <v>Yes</v>
      </c>
      <c r="I54" s="77" t="str">
        <f t="shared" si="13"/>
        <v>Yes</v>
      </c>
      <c r="J54" s="77">
        <f t="shared" si="19"/>
        <v>69.454166666666666</v>
      </c>
      <c r="K54" s="77">
        <v>10</v>
      </c>
      <c r="L54" s="5"/>
    </row>
    <row r="55" spans="1:12" hidden="1">
      <c r="A55" s="76" t="str">
        <f>HYPERLINK("http://www.2seas.com/prodFind.php?name=UNI-TP/10LL&amp;prodType=Mount","UNI-TP/10LL")</f>
        <v>UNI-TP/10LL</v>
      </c>
      <c r="B55" s="77">
        <v>125</v>
      </c>
      <c r="C55" s="77">
        <v>100.7</v>
      </c>
      <c r="D55" s="77">
        <v>2</v>
      </c>
      <c r="E55" s="77" t="b">
        <f t="shared" si="15"/>
        <v>0</v>
      </c>
      <c r="F55" s="78">
        <f t="shared" si="16"/>
        <v>332</v>
      </c>
      <c r="G55" s="77">
        <f t="shared" si="17"/>
        <v>1</v>
      </c>
      <c r="H55" s="78" t="str">
        <f t="shared" si="18"/>
        <v>Yes</v>
      </c>
      <c r="I55" s="77" t="str">
        <f t="shared" si="13"/>
        <v>Yes</v>
      </c>
      <c r="J55" s="77">
        <f t="shared" si="19"/>
        <v>69.454166666666666</v>
      </c>
      <c r="K55" s="77">
        <v>10</v>
      </c>
      <c r="L55" s="5"/>
    </row>
    <row r="56" spans="1:12" hidden="1">
      <c r="A56" s="76" t="str">
        <f>HYPERLINK("http://www.2seas.com/prodFind.php?name=UNI-TP/12&amp;prodType=Mount","UNI-TP/12")</f>
        <v>UNI-TP/12</v>
      </c>
      <c r="B56" s="77">
        <v>140</v>
      </c>
      <c r="C56" s="77">
        <v>75.900000000000006</v>
      </c>
      <c r="D56" s="77">
        <v>2</v>
      </c>
      <c r="E56" s="77" t="b">
        <f t="shared" si="15"/>
        <v>0</v>
      </c>
      <c r="F56" s="78">
        <f t="shared" si="16"/>
        <v>372</v>
      </c>
      <c r="G56" s="77">
        <f t="shared" si="17"/>
        <v>1</v>
      </c>
      <c r="H56" s="78" t="str">
        <f t="shared" si="18"/>
        <v>Yes</v>
      </c>
      <c r="I56" s="77" t="str">
        <f t="shared" si="13"/>
        <v>Yes</v>
      </c>
      <c r="J56" s="77">
        <f t="shared" si="19"/>
        <v>83.344999999999999</v>
      </c>
      <c r="K56" s="77">
        <v>12</v>
      </c>
      <c r="L56" s="5"/>
    </row>
    <row r="57" spans="1:12" hidden="1">
      <c r="A57" s="76" t="str">
        <f>HYPERLINK("http://www.2seas.com/prodFind.php?name=UNI-TP/12LL&amp;prodType=Mount","UNI-TP/12LL ")</f>
        <v xml:space="preserve">UNI-TP/12LL </v>
      </c>
      <c r="B57" s="77">
        <v>140</v>
      </c>
      <c r="C57" s="77">
        <v>100.7</v>
      </c>
      <c r="D57" s="77">
        <v>2</v>
      </c>
      <c r="E57" s="77" t="b">
        <f t="shared" si="15"/>
        <v>0</v>
      </c>
      <c r="F57" s="78">
        <f t="shared" si="16"/>
        <v>372</v>
      </c>
      <c r="G57" s="77">
        <f t="shared" si="17"/>
        <v>1</v>
      </c>
      <c r="H57" s="78" t="str">
        <f t="shared" si="18"/>
        <v/>
      </c>
      <c r="I57" s="77" t="str">
        <f t="shared" si="13"/>
        <v/>
      </c>
      <c r="J57" s="77">
        <f t="shared" si="19"/>
        <v>83.344999999999999</v>
      </c>
      <c r="K57" s="77">
        <v>12</v>
      </c>
      <c r="L57" s="5"/>
    </row>
    <row r="58" spans="1:12" hidden="1">
      <c r="A58" s="5"/>
      <c r="B58" s="5"/>
      <c r="C58" s="5"/>
      <c r="D58" s="5"/>
      <c r="E58" s="5"/>
      <c r="F58" s="5"/>
      <c r="G58" s="5"/>
      <c r="H58" s="5"/>
      <c r="I58" s="5"/>
      <c r="J58" s="5"/>
      <c r="K58" s="5"/>
      <c r="L58" s="5"/>
    </row>
    <row r="59" spans="1:12" hidden="1">
      <c r="A59" s="5"/>
      <c r="B59" s="5"/>
      <c r="C59" s="5"/>
      <c r="D59" s="5"/>
      <c r="E59" s="5"/>
      <c r="F59" s="5"/>
      <c r="G59" s="5"/>
      <c r="H59" s="5"/>
      <c r="I59" s="5"/>
      <c r="J59" s="5"/>
      <c r="K59" s="5"/>
      <c r="L59" s="5"/>
    </row>
    <row r="60" spans="1:12" hidden="1">
      <c r="A60" s="72" t="s">
        <v>22</v>
      </c>
      <c r="B60" s="72" t="s">
        <v>6</v>
      </c>
      <c r="C60" s="72" t="s">
        <v>23</v>
      </c>
      <c r="D60" s="72" t="s">
        <v>24</v>
      </c>
      <c r="E60" s="72" t="s">
        <v>25</v>
      </c>
      <c r="F60" s="72" t="s">
        <v>7</v>
      </c>
      <c r="G60" s="72" t="s">
        <v>8</v>
      </c>
      <c r="H60" s="72" t="s">
        <v>11</v>
      </c>
      <c r="I60" s="72" t="s">
        <v>12</v>
      </c>
      <c r="J60" s="72" t="s">
        <v>13</v>
      </c>
      <c r="K60" s="72" t="s">
        <v>14</v>
      </c>
      <c r="L60" s="5"/>
    </row>
    <row r="61" spans="1:12" hidden="1">
      <c r="A61" s="45" t="str">
        <f>HYPERLINK("http://www.tamaracksolar.com","UNI-SP/01")</f>
        <v>UNI-SP/01</v>
      </c>
      <c r="B61" s="77">
        <v>25</v>
      </c>
      <c r="C61" s="77">
        <v>18.899999999999999</v>
      </c>
      <c r="D61" s="77">
        <v>28.7</v>
      </c>
      <c r="E61" s="77" t="b">
        <f t="shared" ref="E61:E69" si="20">IF(($D$18&gt;D61),TRUE,IF(($D$18&lt;C61),TRUE,FALSE))</f>
        <v>1</v>
      </c>
      <c r="F61" s="78">
        <f t="shared" ref="F61:F69" si="21">IF(E61,0,INT((B61/($B$18+0.75))))</f>
        <v>0</v>
      </c>
      <c r="G61" s="77">
        <f t="shared" ref="G61:G67" si="22">B61-(F61*($B$18+0.75))</f>
        <v>25</v>
      </c>
      <c r="H61" s="78" t="str">
        <f>IF((F61&lt;&gt;F60),IF(E61,"","Yes"),"")</f>
        <v/>
      </c>
      <c r="I61" s="77" t="str">
        <f t="shared" ref="I61:I68" si="23">IF((H61&lt;&gt;""),IF((($C$20*F61)&gt;J61),"No","Yes"),"")</f>
        <v/>
      </c>
      <c r="J61" s="77">
        <f t="shared" ref="J61:J69" si="24">$G$20*K61</f>
        <v>6.9454166666666666</v>
      </c>
      <c r="K61" s="77">
        <v>1</v>
      </c>
      <c r="L61" s="5"/>
    </row>
    <row r="62" spans="1:12" hidden="1">
      <c r="A62" s="79" t="str">
        <f>HYPERLINK("http://www.tamaracksolar.com","UNI-SP/01A")</f>
        <v>UNI-SP/01A</v>
      </c>
      <c r="B62" s="77">
        <v>27.5</v>
      </c>
      <c r="C62" s="77">
        <v>18.899999999999999</v>
      </c>
      <c r="D62" s="77">
        <v>28.7</v>
      </c>
      <c r="E62" s="77" t="b">
        <f t="shared" si="20"/>
        <v>1</v>
      </c>
      <c r="F62" s="78">
        <f t="shared" si="21"/>
        <v>0</v>
      </c>
      <c r="G62" s="77">
        <f t="shared" si="22"/>
        <v>27.5</v>
      </c>
      <c r="H62" s="78" t="str">
        <f t="shared" ref="H62:H68" si="25">IF((F62&lt;&gt;F61),IF(E62,"","Yes"),"")</f>
        <v/>
      </c>
      <c r="I62" s="77" t="str">
        <f t="shared" si="23"/>
        <v/>
      </c>
      <c r="J62" s="77">
        <f t="shared" si="24"/>
        <v>6.9454166666666666</v>
      </c>
      <c r="K62" s="77">
        <v>1</v>
      </c>
      <c r="L62" s="5"/>
    </row>
    <row r="63" spans="1:12" hidden="1">
      <c r="A63" s="79" t="str">
        <f>HYPERLINK("http://www.tamaracksolar.com","UNI-SP/01XH")</f>
        <v>UNI-SP/01XH</v>
      </c>
      <c r="B63" s="77">
        <v>27.5</v>
      </c>
      <c r="C63" s="77">
        <v>29.2</v>
      </c>
      <c r="D63" s="77">
        <v>39</v>
      </c>
      <c r="E63" s="77" t="b">
        <f t="shared" si="20"/>
        <v>1</v>
      </c>
      <c r="F63" s="78">
        <f t="shared" si="21"/>
        <v>0</v>
      </c>
      <c r="G63" s="77">
        <f t="shared" si="22"/>
        <v>27.5</v>
      </c>
      <c r="H63" s="78" t="str">
        <f t="shared" si="25"/>
        <v/>
      </c>
      <c r="I63" s="77" t="str">
        <f t="shared" si="23"/>
        <v/>
      </c>
      <c r="J63" s="77">
        <f t="shared" si="24"/>
        <v>6.9454166666666666</v>
      </c>
      <c r="K63" s="77">
        <v>1</v>
      </c>
      <c r="L63" s="5"/>
    </row>
    <row r="64" spans="1:12" hidden="1">
      <c r="A64" s="79" t="str">
        <f>HYPERLINK("http://www.tamaracksolar.com","UNI-SP/01XX")</f>
        <v>UNI-SP/01XX</v>
      </c>
      <c r="B64" s="77">
        <v>30</v>
      </c>
      <c r="C64" s="77">
        <v>29.2</v>
      </c>
      <c r="D64" s="77">
        <v>39</v>
      </c>
      <c r="E64" s="77" t="b">
        <f t="shared" si="20"/>
        <v>1</v>
      </c>
      <c r="F64" s="78">
        <f t="shared" si="21"/>
        <v>0</v>
      </c>
      <c r="G64" s="77">
        <f t="shared" si="22"/>
        <v>30</v>
      </c>
      <c r="H64" s="78" t="str">
        <f t="shared" ref="H64:H65" si="26">IF((F64&lt;&gt;F63),IF(E64,"","Yes"),"")</f>
        <v/>
      </c>
      <c r="I64" s="77" t="str">
        <f>IF((H64&lt;&gt;""),IF((($C$30*F64)&gt;J64),"No","Yes"),"")</f>
        <v/>
      </c>
      <c r="J64" s="77">
        <f t="shared" si="24"/>
        <v>6.9454166666666666</v>
      </c>
      <c r="K64" s="77">
        <v>1</v>
      </c>
      <c r="L64" s="5"/>
    </row>
    <row r="65" spans="1:12" hidden="1">
      <c r="A65" s="79" t="str">
        <f>HYPERLINK("http://www.tamaracksolar.com","UNI-SP/02")</f>
        <v>UNI-SP/02</v>
      </c>
      <c r="B65" s="77">
        <v>45</v>
      </c>
      <c r="C65" s="77">
        <v>18.899999999999999</v>
      </c>
      <c r="D65" s="77">
        <v>28.7</v>
      </c>
      <c r="E65" s="77" t="b">
        <f t="shared" si="20"/>
        <v>1</v>
      </c>
      <c r="F65" s="78">
        <f t="shared" si="21"/>
        <v>0</v>
      </c>
      <c r="G65" s="77">
        <f t="shared" si="22"/>
        <v>45</v>
      </c>
      <c r="H65" s="78" t="str">
        <f t="shared" si="26"/>
        <v/>
      </c>
      <c r="I65" s="77" t="str">
        <f t="shared" si="23"/>
        <v/>
      </c>
      <c r="J65" s="77">
        <f t="shared" si="24"/>
        <v>13.890833333333333</v>
      </c>
      <c r="K65" s="77">
        <v>2</v>
      </c>
      <c r="L65" s="5"/>
    </row>
    <row r="66" spans="1:12" hidden="1">
      <c r="A66" s="79" t="str">
        <f>HYPERLINK("http://www.tamaracksolar.com","UNI-SP/02A")</f>
        <v>UNI-SP/02A</v>
      </c>
      <c r="B66" s="77">
        <v>55</v>
      </c>
      <c r="C66" s="77">
        <v>18.899999999999999</v>
      </c>
      <c r="D66" s="77">
        <v>28.7</v>
      </c>
      <c r="E66" s="77" t="b">
        <f t="shared" si="20"/>
        <v>1</v>
      </c>
      <c r="F66" s="78">
        <f t="shared" si="21"/>
        <v>0</v>
      </c>
      <c r="G66" s="77">
        <f t="shared" si="22"/>
        <v>55</v>
      </c>
      <c r="H66" s="78" t="str">
        <f t="shared" si="25"/>
        <v/>
      </c>
      <c r="I66" s="77" t="str">
        <f t="shared" si="23"/>
        <v/>
      </c>
      <c r="J66" s="77">
        <f t="shared" si="24"/>
        <v>13.890833333333333</v>
      </c>
      <c r="K66" s="77">
        <v>2</v>
      </c>
      <c r="L66" s="5"/>
    </row>
    <row r="67" spans="1:12" hidden="1">
      <c r="A67" s="79" t="str">
        <f>HYPERLINK("http://www.tamaracksolar.com","UNI-SP/02X")</f>
        <v>UNI-SP/02X</v>
      </c>
      <c r="B67" s="77">
        <v>55</v>
      </c>
      <c r="C67" s="77">
        <v>29.2</v>
      </c>
      <c r="D67" s="77">
        <v>39</v>
      </c>
      <c r="E67" s="77" t="b">
        <f t="shared" si="20"/>
        <v>1</v>
      </c>
      <c r="F67" s="78">
        <f t="shared" si="21"/>
        <v>0</v>
      </c>
      <c r="G67" s="77">
        <f t="shared" si="22"/>
        <v>55</v>
      </c>
      <c r="H67" s="78" t="str">
        <f t="shared" si="25"/>
        <v/>
      </c>
      <c r="I67" s="77" t="str">
        <f t="shared" si="23"/>
        <v/>
      </c>
      <c r="J67" s="77">
        <f t="shared" si="24"/>
        <v>13.890833333333333</v>
      </c>
      <c r="K67" s="77">
        <v>2</v>
      </c>
      <c r="L67" s="5"/>
    </row>
    <row r="68" spans="1:12" hidden="1">
      <c r="A68" s="79" t="str">
        <f>HYPERLINK("http://www.tamaracksolar.com","UNI-SP/03 ")</f>
        <v xml:space="preserve">UNI-SP/03 </v>
      </c>
      <c r="B68" s="77">
        <v>70</v>
      </c>
      <c r="C68" s="77">
        <v>18.899999999999999</v>
      </c>
      <c r="D68" s="77">
        <v>28.7</v>
      </c>
      <c r="E68" s="77" t="b">
        <f t="shared" si="20"/>
        <v>1</v>
      </c>
      <c r="F68" s="78">
        <f t="shared" si="21"/>
        <v>0</v>
      </c>
      <c r="G68" s="77">
        <f>B68-(F68*($B$18+1))</f>
        <v>70</v>
      </c>
      <c r="H68" s="78" t="str">
        <f t="shared" si="25"/>
        <v/>
      </c>
      <c r="I68" s="77" t="str">
        <f t="shared" si="23"/>
        <v/>
      </c>
      <c r="J68" s="77">
        <f t="shared" si="24"/>
        <v>20.83625</v>
      </c>
      <c r="K68" s="77">
        <v>3</v>
      </c>
      <c r="L68" s="5"/>
    </row>
    <row r="69" spans="1:12" hidden="1">
      <c r="A69" s="45" t="str">
        <f>HYPERLINK("http://www.tamaracksolar.com","UNI-SP/03W ")</f>
        <v xml:space="preserve">UNI-SP/03W </v>
      </c>
      <c r="B69" s="77">
        <v>70</v>
      </c>
      <c r="C69" s="77">
        <v>29.2</v>
      </c>
      <c r="D69" s="77">
        <v>39</v>
      </c>
      <c r="E69" s="77" t="b">
        <f t="shared" si="20"/>
        <v>1</v>
      </c>
      <c r="F69" s="78">
        <f t="shared" si="21"/>
        <v>0</v>
      </c>
      <c r="G69" s="77">
        <f>B69-(F69*($B$18+1))</f>
        <v>70</v>
      </c>
      <c r="H69" s="78" t="str">
        <f t="shared" ref="H69" si="27">IF((F69&lt;&gt;F68),IF(E69,"","Yes"),"")</f>
        <v/>
      </c>
      <c r="I69" s="77" t="str">
        <f t="shared" ref="I69" si="28">IF((H69&lt;&gt;""),IF((($C$20*F69)&gt;J69),"No","Yes"),"")</f>
        <v/>
      </c>
      <c r="J69" s="77">
        <f t="shared" si="24"/>
        <v>20.83625</v>
      </c>
      <c r="K69" s="77">
        <v>3</v>
      </c>
      <c r="L69" s="5"/>
    </row>
    <row r="70" spans="1:12" hidden="1">
      <c r="A70" s="5"/>
      <c r="B70" s="5"/>
      <c r="C70" s="5"/>
      <c r="D70" s="5"/>
      <c r="E70" s="5"/>
      <c r="F70" s="5"/>
      <c r="G70" s="5"/>
      <c r="H70" s="5"/>
      <c r="I70" s="5"/>
      <c r="J70" s="5"/>
      <c r="K70" s="5"/>
      <c r="L70" s="5"/>
    </row>
    <row r="71" spans="1:12" hidden="1">
      <c r="A71" s="5"/>
      <c r="B71" s="72"/>
      <c r="C71" s="72"/>
      <c r="D71" s="72"/>
      <c r="E71" s="72"/>
      <c r="F71" s="5"/>
      <c r="G71" s="5"/>
      <c r="H71" s="5"/>
      <c r="I71" s="5"/>
      <c r="J71" s="5"/>
      <c r="K71" s="5"/>
      <c r="L71" s="5"/>
    </row>
    <row r="72" spans="1:12">
      <c r="A72" s="72"/>
      <c r="B72" s="77"/>
      <c r="C72" s="77"/>
      <c r="D72" s="77"/>
      <c r="E72" s="77"/>
      <c r="F72" s="5"/>
      <c r="G72" s="5"/>
      <c r="H72" s="5"/>
      <c r="I72" s="5"/>
      <c r="J72" s="5"/>
      <c r="K72" s="5"/>
      <c r="L72" s="5"/>
    </row>
    <row r="73" spans="1:12">
      <c r="A73" s="72"/>
      <c r="B73" s="77"/>
      <c r="C73" s="77"/>
      <c r="D73" s="77"/>
      <c r="E73" s="77"/>
      <c r="F73" s="5"/>
      <c r="G73" s="5"/>
      <c r="H73" s="5"/>
      <c r="I73" s="5"/>
      <c r="J73" s="5"/>
      <c r="K73" s="5"/>
      <c r="L73" s="5"/>
    </row>
    <row r="74" spans="1:12">
      <c r="A74" s="5"/>
      <c r="B74" s="5"/>
      <c r="C74" s="5"/>
      <c r="D74" s="5"/>
      <c r="E74" s="5"/>
      <c r="F74" s="5"/>
      <c r="G74" s="5"/>
      <c r="H74" s="5"/>
      <c r="I74" s="5"/>
      <c r="J74" s="5"/>
      <c r="K74" s="5"/>
      <c r="L74" s="5"/>
    </row>
  </sheetData>
  <mergeCells count="2">
    <mergeCell ref="C4:F7"/>
    <mergeCell ref="C9:G9"/>
  </mergeCells>
  <phoneticPr fontId="3" type="noConversion"/>
  <pageMargins left="0.75" right="0.75" top="1" bottom="1" header="0.5" footer="0.5"/>
  <pageSetup paperSize="9" scale="75" firstPageNumber="0" fitToWidth="0"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BreakPreview" topLeftCell="A4" zoomScale="85" zoomScaleNormal="100" zoomScaleSheetLayoutView="85" workbookViewId="0">
      <selection activeCell="I14" sqref="I14"/>
    </sheetView>
  </sheetViews>
  <sheetFormatPr defaultColWidth="9.140625" defaultRowHeight="15"/>
  <cols>
    <col min="1" max="1" width="2.7109375" style="8" bestFit="1" customWidth="1"/>
    <col min="2" max="2" width="16.85546875" style="8" customWidth="1"/>
    <col min="3" max="3" width="43.5703125" style="8" customWidth="1"/>
    <col min="4" max="4" width="11.5703125" style="8" customWidth="1"/>
    <col min="5" max="5" width="16.28515625" style="22" customWidth="1"/>
    <col min="6" max="6" width="9.140625" style="22" customWidth="1"/>
    <col min="7" max="7" width="8.42578125" style="22" hidden="1" customWidth="1"/>
    <col min="8" max="8" width="2.7109375" style="8" bestFit="1" customWidth="1"/>
    <col min="9" max="9" width="20.5703125" style="8" customWidth="1"/>
    <col min="10" max="10" width="7.28515625" style="8" customWidth="1"/>
    <col min="11" max="11" width="10.7109375" style="8" bestFit="1" customWidth="1"/>
    <col min="12" max="12" width="13.140625" style="22" customWidth="1"/>
    <col min="13" max="13" width="8" style="8" bestFit="1" customWidth="1"/>
    <col min="14" max="14" width="8.28515625" style="84" hidden="1" customWidth="1"/>
    <col min="15" max="16384" width="9.140625" style="8"/>
  </cols>
  <sheetData>
    <row r="1" spans="1:14" ht="28.5" customHeight="1">
      <c r="A1" s="7"/>
      <c r="B1" s="129" t="str">
        <f>CONCATENATE("Panel Compatibility Report: ",'Data Input'!A20)</f>
        <v>Panel Compatibility Report: MODULE NAME</v>
      </c>
      <c r="C1" s="129"/>
      <c r="D1" s="130"/>
      <c r="E1" s="130"/>
      <c r="F1" s="130"/>
      <c r="G1" s="130"/>
      <c r="H1" s="130"/>
      <c r="I1" s="130"/>
      <c r="J1" s="130"/>
      <c r="K1" s="130"/>
      <c r="L1" s="130"/>
      <c r="M1" s="7"/>
    </row>
    <row r="2" spans="1:14" ht="12.75" hidden="1" customHeight="1">
      <c r="A2" s="7"/>
      <c r="B2" s="9"/>
      <c r="C2" s="9"/>
      <c r="D2" s="9"/>
      <c r="E2" s="17"/>
      <c r="F2" s="20"/>
      <c r="G2" s="20"/>
      <c r="H2" s="7"/>
      <c r="I2" s="9"/>
      <c r="J2" s="9"/>
      <c r="K2" s="9"/>
      <c r="L2" s="17"/>
      <c r="M2" s="7"/>
    </row>
    <row r="3" spans="1:14" ht="12.75" customHeight="1">
      <c r="A3" s="10"/>
      <c r="B3" s="1"/>
      <c r="C3" s="1"/>
      <c r="D3" s="139" t="s">
        <v>89</v>
      </c>
      <c r="E3" s="137" t="s">
        <v>88</v>
      </c>
      <c r="F3" s="50"/>
      <c r="G3" s="141" t="s">
        <v>90</v>
      </c>
      <c r="H3" s="51"/>
      <c r="I3" s="1"/>
      <c r="J3" s="1"/>
      <c r="K3" s="139" t="s">
        <v>89</v>
      </c>
      <c r="L3" s="137" t="s">
        <v>88</v>
      </c>
      <c r="M3" s="50"/>
      <c r="N3" s="141" t="s">
        <v>90</v>
      </c>
    </row>
    <row r="4" spans="1:14" ht="27" customHeight="1">
      <c r="A4" s="10"/>
      <c r="B4" s="2"/>
      <c r="C4" s="2"/>
      <c r="D4" s="140"/>
      <c r="E4" s="138"/>
      <c r="F4" s="18" t="s">
        <v>91</v>
      </c>
      <c r="G4" s="142"/>
      <c r="H4" s="11"/>
      <c r="I4" s="2"/>
      <c r="J4" s="2"/>
      <c r="K4" s="140"/>
      <c r="L4" s="138"/>
      <c r="M4" s="18" t="s">
        <v>92</v>
      </c>
      <c r="N4" s="142"/>
    </row>
    <row r="5" spans="1:14" ht="42" customHeight="1">
      <c r="A5" s="10"/>
      <c r="B5" s="3" t="s">
        <v>27</v>
      </c>
      <c r="C5" s="3"/>
      <c r="D5" s="3" t="s">
        <v>28</v>
      </c>
      <c r="E5" s="15"/>
      <c r="F5" s="53" t="s">
        <v>71</v>
      </c>
      <c r="G5" s="143"/>
      <c r="H5" s="52"/>
      <c r="I5" s="3" t="s">
        <v>27</v>
      </c>
      <c r="J5" s="3"/>
      <c r="K5" s="3" t="s">
        <v>28</v>
      </c>
      <c r="L5" s="16"/>
      <c r="M5" s="53" t="s">
        <v>71</v>
      </c>
      <c r="N5" s="143"/>
    </row>
    <row r="6" spans="1:14" ht="12.75" customHeight="1">
      <c r="A6" s="7"/>
      <c r="B6" s="131" t="s">
        <v>87</v>
      </c>
      <c r="C6" s="131"/>
      <c r="D6" s="131"/>
      <c r="E6" s="131"/>
      <c r="F6" s="46"/>
      <c r="G6" s="87"/>
      <c r="H6" s="7"/>
      <c r="I6" s="131" t="s">
        <v>29</v>
      </c>
      <c r="J6" s="131"/>
      <c r="K6" s="131"/>
      <c r="L6" s="131"/>
      <c r="M6" s="7"/>
    </row>
    <row r="7" spans="1:14" s="29" customFormat="1" ht="12.75" customHeight="1">
      <c r="A7" s="23" t="s">
        <v>30</v>
      </c>
      <c r="B7" s="24" t="s">
        <v>104</v>
      </c>
      <c r="C7" s="24" t="s">
        <v>105</v>
      </c>
      <c r="D7" s="62">
        <v>25</v>
      </c>
      <c r="E7" s="47" t="str">
        <f>IF(('Data Input'!H61="Yes"),'Data Input'!F61,"-")</f>
        <v>-</v>
      </c>
      <c r="F7" s="56" t="str">
        <f>'Data Input'!I61</f>
        <v/>
      </c>
      <c r="G7" s="88">
        <f>'Data Input'!G61</f>
        <v>25</v>
      </c>
      <c r="H7" s="54" t="s">
        <v>31</v>
      </c>
      <c r="I7" s="24" t="s">
        <v>80</v>
      </c>
      <c r="J7" s="25"/>
      <c r="K7" s="26">
        <v>70</v>
      </c>
      <c r="L7" s="27">
        <f>IF(('Data Input'!G26="Yes"),'Data Input'!C26,"-")</f>
        <v>93</v>
      </c>
      <c r="M7" s="55" t="str">
        <f>'Data Input'!H26</f>
        <v>Yes</v>
      </c>
      <c r="N7" s="85">
        <f>'Data Input'!D26</f>
        <v>0.25</v>
      </c>
    </row>
    <row r="8" spans="1:14" s="29" customFormat="1" ht="12.75" customHeight="1">
      <c r="A8" s="23" t="s">
        <v>32</v>
      </c>
      <c r="B8" s="30" t="s">
        <v>79</v>
      </c>
      <c r="C8" s="30" t="s">
        <v>105</v>
      </c>
      <c r="D8" s="63">
        <v>27.5</v>
      </c>
      <c r="E8" s="48" t="str">
        <f>IF(('Data Input'!H62="Yes"),'Data Input'!F62,"-")</f>
        <v>-</v>
      </c>
      <c r="F8" s="57" t="str">
        <f>'Data Input'!I62</f>
        <v/>
      </c>
      <c r="G8" s="88">
        <f>'Data Input'!G62</f>
        <v>27.5</v>
      </c>
      <c r="H8" s="28" t="s">
        <v>33</v>
      </c>
      <c r="I8" s="30" t="s">
        <v>81</v>
      </c>
      <c r="J8" s="31"/>
      <c r="K8" s="32">
        <v>90</v>
      </c>
      <c r="L8" s="33">
        <f>IF(('Data Input'!G27="Yes"),'Data Input'!C27,"-")</f>
        <v>120</v>
      </c>
      <c r="M8" s="66" t="str">
        <f>'Data Input'!H27</f>
        <v>Yes</v>
      </c>
      <c r="N8" s="96">
        <f>'Data Input'!D27</f>
        <v>0</v>
      </c>
    </row>
    <row r="9" spans="1:14" s="29" customFormat="1" ht="15" customHeight="1">
      <c r="A9" s="23" t="s">
        <v>34</v>
      </c>
      <c r="B9" s="123" t="s">
        <v>106</v>
      </c>
      <c r="C9" s="124" t="s">
        <v>108</v>
      </c>
      <c r="D9" s="92">
        <v>27.5</v>
      </c>
      <c r="E9" s="47" t="str">
        <f>IF(('Data Input'!H63="Yes"),'Data Input'!F63,"-")</f>
        <v>-</v>
      </c>
      <c r="F9" s="56" t="str">
        <f>'Data Input'!I63</f>
        <v/>
      </c>
      <c r="G9" s="88">
        <f>'Data Input'!G63</f>
        <v>27.5</v>
      </c>
      <c r="H9" s="28" t="s">
        <v>35</v>
      </c>
      <c r="I9" s="24" t="s">
        <v>82</v>
      </c>
      <c r="J9" s="25"/>
      <c r="K9" s="26">
        <v>110</v>
      </c>
      <c r="L9" s="27">
        <f>IF(('Data Input'!G28="Yes"),'Data Input'!C28,"-")</f>
        <v>146</v>
      </c>
      <c r="M9" s="55" t="str">
        <f>'Data Input'!H28</f>
        <v>Yes</v>
      </c>
      <c r="N9" s="85">
        <f>'Data Input'!D28</f>
        <v>0.5</v>
      </c>
    </row>
    <row r="10" spans="1:14" s="29" customFormat="1">
      <c r="A10" s="23" t="s">
        <v>36</v>
      </c>
      <c r="B10" s="115" t="s">
        <v>78</v>
      </c>
      <c r="C10" s="115" t="s">
        <v>107</v>
      </c>
      <c r="D10" s="63">
        <v>30</v>
      </c>
      <c r="E10" s="48" t="str">
        <f>IF(('Data Input'!H64="Yes"),'Data Input'!F64,"-")</f>
        <v>-</v>
      </c>
      <c r="F10" s="57" t="str">
        <f>'Data Input'!I64</f>
        <v/>
      </c>
      <c r="G10" s="88">
        <f>'Data Input'!G64</f>
        <v>30</v>
      </c>
      <c r="H10" s="28" t="s">
        <v>37</v>
      </c>
      <c r="I10" s="104" t="s">
        <v>83</v>
      </c>
      <c r="J10" s="105"/>
      <c r="K10" s="106">
        <v>115</v>
      </c>
      <c r="L10" s="107">
        <f>IF(('Data Input'!G29="Yes"),'Data Input'!C29,"-")</f>
        <v>153</v>
      </c>
      <c r="M10" s="108" t="str">
        <f>'Data Input'!H29</f>
        <v>Yes</v>
      </c>
      <c r="N10" s="109">
        <f>'Data Input'!D29</f>
        <v>0.25</v>
      </c>
    </row>
    <row r="11" spans="1:14" s="29" customFormat="1" ht="12.75" customHeight="1">
      <c r="A11" s="34"/>
      <c r="B11" s="24" t="s">
        <v>77</v>
      </c>
      <c r="C11" s="24" t="s">
        <v>105</v>
      </c>
      <c r="D11" s="62">
        <v>45</v>
      </c>
      <c r="E11" s="47" t="str">
        <f>IF(('Data Input'!H65="Yes"),'Data Input'!F65,"-")</f>
        <v>-</v>
      </c>
      <c r="F11" s="56" t="str">
        <f>'Data Input'!I65</f>
        <v/>
      </c>
      <c r="G11" s="88">
        <f>'Data Input'!G65</f>
        <v>45</v>
      </c>
      <c r="H11" s="101" t="s">
        <v>38</v>
      </c>
      <c r="I11" s="126" t="s">
        <v>111</v>
      </c>
      <c r="J11" s="152" t="s">
        <v>110</v>
      </c>
      <c r="K11" s="153"/>
      <c r="L11" s="153"/>
      <c r="M11" s="154"/>
      <c r="N11" s="114"/>
    </row>
    <row r="12" spans="1:14" s="29" customFormat="1" ht="12.75" customHeight="1">
      <c r="A12" s="34"/>
      <c r="B12" s="30" t="s">
        <v>76</v>
      </c>
      <c r="C12" s="125" t="s">
        <v>105</v>
      </c>
      <c r="D12" s="63">
        <v>55</v>
      </c>
      <c r="E12" s="48" t="str">
        <f>IF(('Data Input'!H66="Yes"),'Data Input'!F66,"-")</f>
        <v>-</v>
      </c>
      <c r="F12" s="57" t="str">
        <f>'Data Input'!I66</f>
        <v/>
      </c>
      <c r="G12" s="88">
        <f>'Data Input'!G66</f>
        <v>55</v>
      </c>
      <c r="H12" s="101" t="s">
        <v>34</v>
      </c>
      <c r="I12" s="114"/>
      <c r="J12" s="114"/>
      <c r="K12" s="114"/>
      <c r="L12" s="114"/>
      <c r="M12" s="114"/>
      <c r="N12" s="114"/>
    </row>
    <row r="13" spans="1:14" s="29" customFormat="1" ht="12.75" customHeight="1">
      <c r="A13" s="34"/>
      <c r="B13" s="24" t="s">
        <v>75</v>
      </c>
      <c r="C13" s="24" t="s">
        <v>107</v>
      </c>
      <c r="D13" s="62">
        <v>55</v>
      </c>
      <c r="E13" s="47" t="str">
        <f>IF(('Data Input'!H67="Yes"),'Data Input'!F67,"-")</f>
        <v>-</v>
      </c>
      <c r="F13" s="56" t="str">
        <f>'Data Input'!I67</f>
        <v/>
      </c>
      <c r="G13" s="88">
        <f>'Data Input'!G67</f>
        <v>55</v>
      </c>
      <c r="H13" s="102"/>
      <c r="I13" s="114"/>
      <c r="J13" s="114"/>
      <c r="K13" s="114"/>
      <c r="L13" s="114"/>
      <c r="M13" s="114"/>
      <c r="N13" s="114"/>
    </row>
    <row r="14" spans="1:14" s="29" customFormat="1" ht="12.75" customHeight="1">
      <c r="A14" s="34"/>
      <c r="B14" s="30" t="s">
        <v>74</v>
      </c>
      <c r="C14" s="125" t="s">
        <v>105</v>
      </c>
      <c r="D14" s="63">
        <v>70</v>
      </c>
      <c r="E14" s="49" t="str">
        <f>IF(('Data Input'!H68="Yes"),'Data Input'!F68,"-")</f>
        <v>-</v>
      </c>
      <c r="F14" s="57" t="str">
        <f>'Data Input'!I68</f>
        <v/>
      </c>
      <c r="G14" s="89">
        <f>'Data Input'!G68</f>
        <v>70</v>
      </c>
      <c r="H14" s="103"/>
      <c r="I14" s="114"/>
      <c r="J14" s="114"/>
      <c r="K14" s="114"/>
      <c r="L14" s="114"/>
      <c r="M14" s="114"/>
      <c r="N14" s="114"/>
    </row>
    <row r="15" spans="1:14" s="29" customFormat="1" ht="12.75" hidden="1" customHeight="1">
      <c r="A15" s="13"/>
      <c r="B15" s="30" t="s">
        <v>39</v>
      </c>
      <c r="C15" s="30"/>
      <c r="D15" s="63">
        <v>70</v>
      </c>
      <c r="E15" s="49" t="str">
        <f>IF(('Data Input'!H69="Yes"),'Data Input'!F69,"-")</f>
        <v>-</v>
      </c>
      <c r="F15" s="57" t="str">
        <f>'Data Input'!I69</f>
        <v/>
      </c>
      <c r="G15" s="89">
        <f>'Data Input'!G69</f>
        <v>70</v>
      </c>
      <c r="H15" s="35"/>
      <c r="I15" s="110"/>
      <c r="J15" s="132" t="s">
        <v>40</v>
      </c>
      <c r="K15" s="133"/>
      <c r="L15" s="111"/>
      <c r="M15" s="112" t="str">
        <f>'Data Input'!H30</f>
        <v/>
      </c>
      <c r="N15" s="113">
        <f>'Data Input'!D30</f>
        <v>0</v>
      </c>
    </row>
    <row r="16" spans="1:14" s="29" customFormat="1" ht="12.75" customHeight="1">
      <c r="A16" s="13"/>
      <c r="B16" s="93" t="s">
        <v>84</v>
      </c>
      <c r="C16" s="24" t="s">
        <v>107</v>
      </c>
      <c r="D16" s="92">
        <v>70</v>
      </c>
      <c r="E16" s="94" t="str">
        <f>IF(('Data Input'!H69="Yes"),'Data Input'!F69,"-")</f>
        <v>-</v>
      </c>
      <c r="F16" s="95" t="str">
        <f>'Data Input'!I69</f>
        <v/>
      </c>
      <c r="G16" s="89">
        <f>'Data Input'!G69</f>
        <v>70</v>
      </c>
      <c r="H16" s="35"/>
      <c r="I16" s="97" t="s">
        <v>41</v>
      </c>
      <c r="J16" s="98"/>
      <c r="K16" s="99">
        <v>90</v>
      </c>
      <c r="L16" s="100">
        <f>IF(('Data Input'!G32="Yes"),'Data Input'!C32,"-")</f>
        <v>120</v>
      </c>
      <c r="M16" s="99" t="str">
        <f>'Data Input'!H31</f>
        <v/>
      </c>
      <c r="N16" s="97">
        <f>'Data Input'!D31</f>
        <v>0</v>
      </c>
    </row>
    <row r="17" spans="1:14" s="29" customFormat="1" ht="12.75" customHeight="1">
      <c r="A17" s="23" t="s">
        <v>42</v>
      </c>
      <c r="B17" s="134" t="s">
        <v>85</v>
      </c>
      <c r="C17" s="135"/>
      <c r="D17" s="135"/>
      <c r="E17" s="136"/>
      <c r="F17" s="58"/>
      <c r="G17" s="90"/>
      <c r="H17" s="35"/>
      <c r="I17" s="97" t="s">
        <v>43</v>
      </c>
      <c r="J17" s="98"/>
      <c r="K17" s="99">
        <v>110</v>
      </c>
      <c r="L17" s="100">
        <f>IF(('Data Input'!G33="Yes"),'Data Input'!C33,"-")</f>
        <v>146</v>
      </c>
      <c r="M17" s="99" t="str">
        <f>'Data Input'!H32</f>
        <v>Yes</v>
      </c>
      <c r="N17" s="97">
        <f>'Data Input'!D32</f>
        <v>0</v>
      </c>
    </row>
    <row r="18" spans="1:14" s="29" customFormat="1" ht="12.75" customHeight="1">
      <c r="A18" s="23" t="s">
        <v>35</v>
      </c>
      <c r="B18" s="24"/>
      <c r="C18" s="24"/>
      <c r="D18" s="26"/>
      <c r="E18" s="47"/>
      <c r="F18" s="56"/>
      <c r="G18" s="91"/>
      <c r="H18" s="35"/>
      <c r="I18" s="97" t="s">
        <v>45</v>
      </c>
      <c r="J18" s="98"/>
      <c r="K18" s="99">
        <v>140</v>
      </c>
      <c r="L18" s="100">
        <f>IF(('Data Input'!G34="Yes"),'Data Input'!C34,"-")</f>
        <v>186</v>
      </c>
      <c r="M18" s="99" t="str">
        <f>'Data Input'!H33</f>
        <v>Yes</v>
      </c>
      <c r="N18" s="97">
        <f>'Data Input'!D33</f>
        <v>0.5</v>
      </c>
    </row>
    <row r="19" spans="1:14" s="29" customFormat="1" ht="12.75" customHeight="1">
      <c r="A19" s="23" t="s">
        <v>46</v>
      </c>
      <c r="B19" s="30" t="s">
        <v>44</v>
      </c>
      <c r="C19" s="30"/>
      <c r="D19" s="63">
        <v>45</v>
      </c>
      <c r="E19" s="48">
        <f>IF(('Data Input'!H43="Yes"),'Data Input'!F43,"-")</f>
        <v>60</v>
      </c>
      <c r="F19" s="57" t="str">
        <f>'Data Input'!I43</f>
        <v>Yes</v>
      </c>
      <c r="G19" s="89">
        <f>'Data Input'!G43</f>
        <v>0</v>
      </c>
      <c r="H19" s="35"/>
      <c r="I19" s="97" t="s">
        <v>48</v>
      </c>
      <c r="J19" s="98"/>
      <c r="K19" s="99">
        <v>160</v>
      </c>
      <c r="L19" s="100">
        <f>IF(('Data Input'!G35="Yes"),'Data Input'!C35,"-")</f>
        <v>213</v>
      </c>
      <c r="M19" s="99" t="str">
        <f>'Data Input'!H34</f>
        <v>Yes</v>
      </c>
      <c r="N19" s="97">
        <f>'Data Input'!D34</f>
        <v>0.5</v>
      </c>
    </row>
    <row r="20" spans="1:14" s="29" customFormat="1" ht="12.75" customHeight="1">
      <c r="A20" s="23"/>
      <c r="B20" s="24" t="s">
        <v>47</v>
      </c>
      <c r="C20" s="24"/>
      <c r="D20" s="62">
        <v>55</v>
      </c>
      <c r="E20" s="47">
        <f>IF(('Data Input'!H44="Yes"),'Data Input'!F44,"-")</f>
        <v>73</v>
      </c>
      <c r="F20" s="56" t="str">
        <f>'Data Input'!I44</f>
        <v>Yes</v>
      </c>
      <c r="G20" s="89">
        <f>'Data Input'!G44</f>
        <v>0.25</v>
      </c>
      <c r="H20" s="35"/>
      <c r="I20" s="97" t="s">
        <v>50</v>
      </c>
      <c r="J20" s="98"/>
      <c r="K20" s="99">
        <v>180</v>
      </c>
      <c r="L20" s="100">
        <f>IF(('Data Input'!G36="Yes"),'Data Input'!C36,"-")</f>
        <v>240</v>
      </c>
      <c r="M20" s="99" t="str">
        <f>'Data Input'!H35</f>
        <v>Yes</v>
      </c>
      <c r="N20" s="97">
        <f>'Data Input'!D35</f>
        <v>0.25</v>
      </c>
    </row>
    <row r="21" spans="1:14" s="29" customFormat="1" ht="12.75" customHeight="1">
      <c r="A21" s="23"/>
      <c r="B21" s="30" t="s">
        <v>49</v>
      </c>
      <c r="C21" s="30"/>
      <c r="D21" s="63">
        <v>70</v>
      </c>
      <c r="E21" s="48">
        <f>IF(('Data Input'!H45="Yes"),'Data Input'!F45,"-")</f>
        <v>93</v>
      </c>
      <c r="F21" s="57" t="str">
        <f>'Data Input'!I45</f>
        <v>Yes</v>
      </c>
      <c r="G21" s="89">
        <f>'Data Input'!G45</f>
        <v>0.25</v>
      </c>
      <c r="H21" s="35"/>
      <c r="I21" s="97" t="s">
        <v>52</v>
      </c>
      <c r="J21" s="98"/>
      <c r="K21" s="99">
        <v>225</v>
      </c>
      <c r="L21" s="100">
        <f>IF(('Data Input'!G37="Yes"),'Data Input'!C37,"-")</f>
        <v>300</v>
      </c>
      <c r="M21" s="99" t="str">
        <f>'Data Input'!H36</f>
        <v>Yes</v>
      </c>
      <c r="N21" s="97">
        <f>'Data Input'!D36</f>
        <v>0</v>
      </c>
    </row>
    <row r="22" spans="1:14" s="29" customFormat="1" ht="12.75" customHeight="1">
      <c r="A22" s="23"/>
      <c r="B22" s="24" t="s">
        <v>51</v>
      </c>
      <c r="C22" s="24"/>
      <c r="D22" s="62">
        <v>90</v>
      </c>
      <c r="E22" s="47">
        <f>IF(('Data Input'!H46="Yes"),'Data Input'!F46,"-")</f>
        <v>120</v>
      </c>
      <c r="F22" s="56" t="str">
        <f>'Data Input'!I46</f>
        <v>Yes</v>
      </c>
      <c r="G22" s="89">
        <f>'Data Input'!G46</f>
        <v>0</v>
      </c>
      <c r="H22" s="35"/>
      <c r="I22" s="97" t="s">
        <v>54</v>
      </c>
      <c r="J22" s="98"/>
      <c r="K22" s="99">
        <v>270</v>
      </c>
      <c r="L22" s="100">
        <f>IF(('Data Input'!G38="Yes"),'Data Input'!C38,"-")</f>
        <v>360</v>
      </c>
      <c r="M22" s="99" t="str">
        <f>'Data Input'!H37</f>
        <v>Yes</v>
      </c>
      <c r="N22" s="97">
        <f>'Data Input'!D37</f>
        <v>0</v>
      </c>
    </row>
    <row r="23" spans="1:14" s="29" customFormat="1" ht="12.75" customHeight="1">
      <c r="A23" s="36"/>
      <c r="B23" s="30" t="s">
        <v>53</v>
      </c>
      <c r="C23" s="30"/>
      <c r="D23" s="63">
        <v>110</v>
      </c>
      <c r="E23" s="48">
        <f>IF(('Data Input'!H47="Yes"),'Data Input'!F47,"-")</f>
        <v>146</v>
      </c>
      <c r="F23" s="57" t="str">
        <f>'Data Input'!I47</f>
        <v>Yes</v>
      </c>
      <c r="G23" s="89">
        <f>'Data Input'!G47</f>
        <v>0.5</v>
      </c>
      <c r="H23" s="35"/>
      <c r="I23" s="97" t="s">
        <v>55</v>
      </c>
      <c r="J23" s="98"/>
      <c r="K23" s="99">
        <v>325</v>
      </c>
      <c r="L23" s="100">
        <f>IF(('Data Input'!G39="Yes"),'Data Input'!C39,"-")</f>
        <v>433</v>
      </c>
      <c r="M23" s="99" t="str">
        <f>'Data Input'!H38</f>
        <v>Yes</v>
      </c>
      <c r="N23" s="97">
        <f>'Data Input'!D38</f>
        <v>0</v>
      </c>
    </row>
    <row r="24" spans="1:14" s="29" customFormat="1" ht="12.75" customHeight="1">
      <c r="A24" s="23" t="s">
        <v>42</v>
      </c>
      <c r="B24" s="149" t="s">
        <v>86</v>
      </c>
      <c r="C24" s="150"/>
      <c r="D24" s="150"/>
      <c r="E24" s="151"/>
      <c r="F24" s="58"/>
      <c r="G24" s="90"/>
      <c r="H24" s="64"/>
      <c r="I24" s="37"/>
      <c r="J24" s="37"/>
      <c r="K24" s="37"/>
      <c r="L24" s="38"/>
      <c r="M24" s="13"/>
      <c r="N24" s="86"/>
    </row>
    <row r="25" spans="1:14" s="29" customFormat="1" ht="12.75" customHeight="1">
      <c r="A25" s="23" t="s">
        <v>35</v>
      </c>
      <c r="B25" s="24"/>
      <c r="C25" s="24"/>
      <c r="D25" s="62"/>
      <c r="E25" s="47"/>
      <c r="F25" s="56"/>
      <c r="G25" s="89"/>
      <c r="H25" s="64"/>
      <c r="I25" s="60" t="s">
        <v>57</v>
      </c>
      <c r="J25" s="146"/>
      <c r="K25" s="146"/>
      <c r="L25" s="146"/>
      <c r="M25" s="13"/>
      <c r="N25" s="86"/>
    </row>
    <row r="26" spans="1:14" s="29" customFormat="1" ht="12.75" customHeight="1">
      <c r="A26" s="23" t="s">
        <v>46</v>
      </c>
      <c r="B26" s="30" t="s">
        <v>56</v>
      </c>
      <c r="C26" s="30"/>
      <c r="D26" s="63">
        <v>70</v>
      </c>
      <c r="E26" s="48">
        <f>IF(('Data Input'!H51="Yes"),'Data Input'!F51,"-")</f>
        <v>186</v>
      </c>
      <c r="F26" s="57" t="str">
        <f>'Data Input'!I51</f>
        <v>Yes</v>
      </c>
      <c r="G26" s="89">
        <f>'Data Input'!G51</f>
        <v>0.5</v>
      </c>
      <c r="H26" s="35"/>
      <c r="I26" s="59" t="s">
        <v>0</v>
      </c>
      <c r="J26" s="81">
        <f>'Data Input'!$B$18</f>
        <v>0</v>
      </c>
      <c r="K26" s="147" t="s">
        <v>59</v>
      </c>
      <c r="L26" s="147"/>
      <c r="M26" s="13"/>
      <c r="N26" s="86"/>
    </row>
    <row r="27" spans="1:14" s="29" customFormat="1" ht="12.75" customHeight="1">
      <c r="A27" s="145">
        <v>2</v>
      </c>
      <c r="B27" s="24" t="s">
        <v>58</v>
      </c>
      <c r="C27" s="24"/>
      <c r="D27" s="62">
        <v>90</v>
      </c>
      <c r="E27" s="47">
        <f>IF(('Data Input'!H52="Yes"),'Data Input'!F52,"-")</f>
        <v>240</v>
      </c>
      <c r="F27" s="56" t="str">
        <f>'Data Input'!I52</f>
        <v>Yes</v>
      </c>
      <c r="G27" s="89">
        <f>'Data Input'!G52</f>
        <v>0</v>
      </c>
      <c r="H27" s="35"/>
      <c r="I27" s="39" t="s">
        <v>1</v>
      </c>
      <c r="J27" s="82">
        <f>'Data Input'!$C$18</f>
        <v>0</v>
      </c>
      <c r="K27" s="148" t="s">
        <v>59</v>
      </c>
      <c r="L27" s="148"/>
      <c r="M27" s="13"/>
      <c r="N27" s="86"/>
    </row>
    <row r="28" spans="1:14" s="29" customFormat="1" ht="12.75" customHeight="1">
      <c r="A28" s="145"/>
      <c r="B28" s="30" t="s">
        <v>60</v>
      </c>
      <c r="C28" s="30"/>
      <c r="D28" s="63">
        <v>90</v>
      </c>
      <c r="E28" s="48" t="str">
        <f>IF(('Data Input'!H53="Yes"),'Data Input'!F53,"-")</f>
        <v>-</v>
      </c>
      <c r="F28" s="57" t="str">
        <f>'Data Input'!I53</f>
        <v/>
      </c>
      <c r="G28" s="89">
        <f>'Data Input'!G53</f>
        <v>0</v>
      </c>
      <c r="H28" s="35"/>
      <c r="I28" s="39" t="s">
        <v>72</v>
      </c>
      <c r="J28" s="82">
        <f>'Data Input'!$D$18</f>
        <v>0</v>
      </c>
      <c r="K28" s="148" t="s">
        <v>59</v>
      </c>
      <c r="L28" s="148"/>
      <c r="M28" s="13"/>
      <c r="N28" s="86"/>
    </row>
    <row r="29" spans="1:14" s="29" customFormat="1" ht="12.75" customHeight="1">
      <c r="A29" s="23" t="s">
        <v>42</v>
      </c>
      <c r="B29" s="24" t="s">
        <v>61</v>
      </c>
      <c r="C29" s="24"/>
      <c r="D29" s="62">
        <v>115</v>
      </c>
      <c r="E29" s="47">
        <f>IF(('Data Input'!H54="Yes"),'Data Input'!F54,"-")</f>
        <v>306</v>
      </c>
      <c r="F29" s="56" t="str">
        <f>'Data Input'!I54</f>
        <v>Yes</v>
      </c>
      <c r="G29" s="89">
        <f>'Data Input'!G54</f>
        <v>0.5</v>
      </c>
      <c r="H29" s="35"/>
      <c r="I29" s="39" t="s">
        <v>73</v>
      </c>
      <c r="J29" s="83">
        <f>'Data Input'!$E$18</f>
        <v>0</v>
      </c>
      <c r="K29" s="148" t="s">
        <v>59</v>
      </c>
      <c r="L29" s="148"/>
      <c r="M29" s="13"/>
      <c r="N29" s="86"/>
    </row>
    <row r="30" spans="1:14" s="29" customFormat="1" ht="12.75" customHeight="1">
      <c r="A30" s="23" t="s">
        <v>32</v>
      </c>
      <c r="B30" s="30" t="s">
        <v>62</v>
      </c>
      <c r="C30" s="30"/>
      <c r="D30" s="63">
        <v>125</v>
      </c>
      <c r="E30" s="48">
        <f>IF(('Data Input'!H55="Yes"),'Data Input'!F55,"-")</f>
        <v>332</v>
      </c>
      <c r="F30" s="57" t="str">
        <f>'Data Input'!I55</f>
        <v>Yes</v>
      </c>
      <c r="G30" s="89">
        <f>'Data Input'!G55</f>
        <v>1</v>
      </c>
      <c r="H30" s="35"/>
      <c r="I30" s="40"/>
      <c r="J30" s="61"/>
      <c r="K30" s="148"/>
      <c r="L30" s="148"/>
      <c r="M30" s="13"/>
      <c r="N30" s="86"/>
    </row>
    <row r="31" spans="1:14" s="29" customFormat="1" ht="12.75" customHeight="1">
      <c r="A31" s="23" t="s">
        <v>36</v>
      </c>
      <c r="B31" s="24" t="s">
        <v>63</v>
      </c>
      <c r="C31" s="24"/>
      <c r="D31" s="62">
        <v>140</v>
      </c>
      <c r="E31" s="47">
        <f>IF(('Data Input'!H56="Yes"),'Data Input'!F56,"-")</f>
        <v>372</v>
      </c>
      <c r="F31" s="56" t="str">
        <f>'Data Input'!I56</f>
        <v>Yes</v>
      </c>
      <c r="G31" s="89">
        <f>'Data Input'!G56</f>
        <v>1</v>
      </c>
      <c r="H31" s="65"/>
      <c r="I31" s="12"/>
      <c r="J31" s="44"/>
      <c r="K31" s="44"/>
      <c r="L31" s="20"/>
      <c r="M31" s="13"/>
      <c r="N31" s="86"/>
    </row>
    <row r="32" spans="1:14" ht="12.75" customHeight="1">
      <c r="A32" s="23" t="s">
        <v>33</v>
      </c>
      <c r="B32" s="116" t="s">
        <v>93</v>
      </c>
      <c r="C32" s="116"/>
      <c r="D32" s="63">
        <v>140</v>
      </c>
      <c r="E32" s="48" t="str">
        <f>IF(('Data Input'!H57="Yes"),'Data Input'!F57,"-")</f>
        <v>-</v>
      </c>
      <c r="F32" s="57" t="str">
        <f>'Data Input'!I57</f>
        <v/>
      </c>
      <c r="G32" s="89">
        <f>'Data Input'!G57</f>
        <v>1</v>
      </c>
      <c r="H32" s="4"/>
      <c r="I32" s="7"/>
      <c r="J32" s="7"/>
      <c r="K32" s="7"/>
      <c r="L32" s="20"/>
      <c r="M32" s="7"/>
    </row>
    <row r="33" spans="1:13">
      <c r="A33" s="7"/>
      <c r="B33" s="12"/>
      <c r="C33" s="12"/>
      <c r="D33" s="12"/>
      <c r="E33" s="19"/>
      <c r="F33" s="20"/>
      <c r="G33" s="20"/>
      <c r="H33" s="7"/>
      <c r="I33" s="117"/>
      <c r="J33" s="117"/>
      <c r="K33" s="117"/>
      <c r="L33" s="20"/>
      <c r="M33" s="7"/>
    </row>
    <row r="34" spans="1:13" ht="12.75" customHeight="1">
      <c r="A34" s="7"/>
      <c r="B34" s="144" t="s">
        <v>64</v>
      </c>
      <c r="C34" s="144"/>
      <c r="D34" s="144"/>
      <c r="E34" s="144"/>
      <c r="F34" s="144"/>
      <c r="G34" s="144"/>
      <c r="H34" s="144"/>
      <c r="I34" s="144"/>
      <c r="J34" s="144"/>
      <c r="K34" s="144"/>
      <c r="L34" s="144"/>
      <c r="M34" s="7"/>
    </row>
    <row r="35" spans="1:13" ht="12.75" customHeight="1">
      <c r="A35" s="7"/>
      <c r="B35" s="144"/>
      <c r="C35" s="144"/>
      <c r="D35" s="144"/>
      <c r="E35" s="144"/>
      <c r="F35" s="144"/>
      <c r="G35" s="144"/>
      <c r="H35" s="144"/>
      <c r="I35" s="144"/>
      <c r="J35" s="144"/>
      <c r="K35" s="144"/>
      <c r="L35" s="144"/>
      <c r="M35" s="7"/>
    </row>
    <row r="36" spans="1:13" ht="12" customHeight="1">
      <c r="A36" s="7"/>
      <c r="B36" s="117"/>
      <c r="C36" s="117"/>
      <c r="D36" s="117"/>
      <c r="E36" s="117"/>
      <c r="F36" s="117"/>
      <c r="G36" s="117"/>
      <c r="H36" s="117"/>
      <c r="I36" s="117"/>
      <c r="J36" s="117"/>
      <c r="K36" s="117"/>
      <c r="L36" s="20"/>
      <c r="M36" s="7"/>
    </row>
    <row r="37" spans="1:13" ht="12.6" hidden="1" customHeight="1">
      <c r="A37" s="7"/>
      <c r="B37" s="117"/>
      <c r="C37" s="117"/>
      <c r="D37" s="117"/>
      <c r="E37" s="117"/>
      <c r="F37" s="117"/>
      <c r="G37" s="117"/>
      <c r="H37" s="117"/>
      <c r="I37" s="117"/>
      <c r="J37" s="117"/>
      <c r="K37" s="117"/>
      <c r="L37" s="20"/>
      <c r="M37" s="7"/>
    </row>
    <row r="38" spans="1:13" ht="12.6" hidden="1" customHeight="1">
      <c r="A38" s="7"/>
      <c r="B38" s="117"/>
      <c r="C38" s="117"/>
      <c r="D38" s="117"/>
      <c r="E38" s="117"/>
      <c r="F38" s="117"/>
      <c r="G38" s="117"/>
      <c r="H38" s="117"/>
      <c r="I38" s="117"/>
      <c r="J38" s="117"/>
      <c r="K38" s="117"/>
      <c r="L38" s="20"/>
      <c r="M38" s="7"/>
    </row>
    <row r="39" spans="1:13" ht="12.6" hidden="1" customHeight="1">
      <c r="A39" s="7"/>
      <c r="B39" s="117"/>
      <c r="C39" s="117"/>
      <c r="D39" s="117"/>
      <c r="E39" s="117"/>
      <c r="F39" s="117"/>
      <c r="G39" s="117"/>
      <c r="H39" s="117"/>
      <c r="I39" s="7"/>
      <c r="J39" s="7"/>
      <c r="K39" s="7"/>
      <c r="L39" s="20"/>
      <c r="M39" s="7"/>
    </row>
    <row r="40" spans="1:13" ht="12.75" hidden="1" customHeight="1">
      <c r="A40" s="7"/>
      <c r="B40" s="7"/>
      <c r="C40" s="118"/>
      <c r="D40" s="7"/>
      <c r="E40" s="20"/>
      <c r="F40" s="20"/>
      <c r="G40" s="20"/>
      <c r="H40" s="7"/>
      <c r="I40" s="7"/>
      <c r="J40" s="7"/>
      <c r="K40" s="7"/>
      <c r="L40" s="20"/>
      <c r="M40" s="7"/>
    </row>
    <row r="41" spans="1:13" ht="12.75" hidden="1" customHeight="1">
      <c r="A41" s="7"/>
      <c r="B41" s="7"/>
      <c r="C41" s="118"/>
      <c r="D41" s="7"/>
      <c r="E41" s="20"/>
      <c r="F41" s="20"/>
      <c r="G41" s="20"/>
      <c r="H41" s="7"/>
      <c r="I41" s="14"/>
      <c r="J41" s="14"/>
      <c r="K41" s="14"/>
      <c r="L41" s="21"/>
      <c r="M41" s="7"/>
    </row>
    <row r="42" spans="1:13" ht="12.75" hidden="1" customHeight="1">
      <c r="A42" s="7"/>
      <c r="B42" s="7"/>
      <c r="C42" s="118"/>
      <c r="D42" s="7"/>
      <c r="E42" s="20"/>
      <c r="F42" s="20"/>
      <c r="G42" s="20"/>
      <c r="H42" s="14"/>
      <c r="I42" s="7"/>
      <c r="J42" s="7"/>
      <c r="K42" s="7"/>
      <c r="L42" s="20"/>
      <c r="M42" s="7"/>
    </row>
    <row r="43" spans="1:13" ht="12.75" customHeight="1">
      <c r="A43" s="7"/>
      <c r="B43" s="14"/>
      <c r="C43" s="14"/>
      <c r="D43" s="14"/>
      <c r="E43" s="21"/>
      <c r="F43" s="21"/>
      <c r="G43" s="21"/>
      <c r="H43" s="7"/>
      <c r="M43" s="7"/>
    </row>
    <row r="44" spans="1:13">
      <c r="B44" s="7"/>
      <c r="C44" s="118"/>
      <c r="D44" s="7"/>
      <c r="E44" s="20"/>
      <c r="F44" s="20"/>
      <c r="G44" s="20"/>
    </row>
  </sheetData>
  <sheetProtection password="CCF7" sheet="1" objects="1" scenarios="1" selectLockedCells="1" selectUnlockedCells="1"/>
  <mergeCells count="21">
    <mergeCell ref="B34:L35"/>
    <mergeCell ref="N3:N5"/>
    <mergeCell ref="A27:A28"/>
    <mergeCell ref="J25:L25"/>
    <mergeCell ref="K26:L26"/>
    <mergeCell ref="K27:L27"/>
    <mergeCell ref="K28:L28"/>
    <mergeCell ref="K29:L29"/>
    <mergeCell ref="K30:L30"/>
    <mergeCell ref="B24:E24"/>
    <mergeCell ref="J11:M11"/>
    <mergeCell ref="B1:L1"/>
    <mergeCell ref="B6:E6"/>
    <mergeCell ref="I6:L6"/>
    <mergeCell ref="J15:K15"/>
    <mergeCell ref="B17:E17"/>
    <mergeCell ref="E3:E4"/>
    <mergeCell ref="D3:D4"/>
    <mergeCell ref="K3:K4"/>
    <mergeCell ref="L3:L4"/>
    <mergeCell ref="G3:G5"/>
  </mergeCells>
  <phoneticPr fontId="3" type="noConversion"/>
  <pageMargins left="0.75" right="0.75" top="1" bottom="1" header="0.5" footer="0.5"/>
  <pageSetup paperSize="9" scale="81" firstPageNumber="0" fitToWidth="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Input</vt:lpstr>
      <vt:lpstr>compatible mounts</vt:lpstr>
      <vt:lpstr>'compatible mounts'!Print_Area</vt:lpstr>
      <vt:lpstr>'Data Input'!Print_Area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Tamarack Solar VP</dc:creator>
  <cp:lastModifiedBy>Andrea Belford</cp:lastModifiedBy>
  <cp:lastPrinted>2016-03-04T19:12:59Z</cp:lastPrinted>
  <dcterms:created xsi:type="dcterms:W3CDTF">2016-01-08T02:48:00Z</dcterms:created>
  <dcterms:modified xsi:type="dcterms:W3CDTF">2020-09-11T13:04:22Z</dcterms:modified>
</cp:coreProperties>
</file>